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INTELISPARKZ\FASTRAGAI\PBE for AI Work 10.02.26\"/>
    </mc:Choice>
  </mc:AlternateContent>
  <xr:revisionPtr revIDLastSave="0" documentId="8_{63F26E29-3DD7-46AF-BA40-DCE17E56CCE6}" xr6:coauthVersionLast="36" xr6:coauthVersionMax="36" xr10:uidLastSave="{00000000-0000-0000-0000-000000000000}"/>
  <bookViews>
    <workbookView xWindow="0" yWindow="0" windowWidth="23040" windowHeight="8940" tabRatio="780" firstSheet="6" activeTab="6"/>
  </bookViews>
  <sheets>
    <sheet name="Basic cost" sheetId="2" state="hidden" r:id="rId1"/>
    <sheet name="capcost" sheetId="5" state="hidden" r:id="rId2"/>
    <sheet name="GM" sheetId="13" state="hidden" r:id="rId3"/>
    <sheet name="cash flow" sheetId="18" state="hidden" r:id="rId4"/>
    <sheet name="Finan.summary" sheetId="19" state="hidden" r:id="rId5"/>
    <sheet name="MOM" sheetId="20" state="hidden" r:id="rId6"/>
    <sheet name="PBE" sheetId="29" r:id="rId7"/>
  </sheets>
  <externalReferences>
    <externalReference r:id="rId8"/>
  </externalReferences>
  <definedNames>
    <definedName name="_xlnm._FilterDatabase" localSheetId="1" hidden="1">capcost!$A$1:$DX$139</definedName>
    <definedName name="_xlnm.Print_Area" localSheetId="0">'Basic cost'!$A$2:$J$77</definedName>
    <definedName name="_xlnm.Print_Area" localSheetId="1">capcost!$A$65:$Y$85</definedName>
    <definedName name="_xlnm.Print_Area" localSheetId="3">'cash flow'!$W$1:$AT$59</definedName>
    <definedName name="_xlnm.Print_Area" localSheetId="4">Finan.summary!$B$1:$E$16</definedName>
    <definedName name="_xlnm.Print_Area" localSheetId="2">GM!$A$5:$J$28</definedName>
    <definedName name="_xlnm.Print_Area" localSheetId="5">MOM!$A$1:$Q$63</definedName>
    <definedName name="_xlnm.Print_Area" localSheetId="6">PBE!$B$1:$G$34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Single"/>
      </xcalcf:calcFeatures>
    </ext>
  </extLst>
</workbook>
</file>

<file path=xl/calcChain.xml><?xml version="1.0" encoding="utf-8"?>
<calcChain xmlns="http://schemas.openxmlformats.org/spreadsheetml/2006/main">
  <c r="E8" i="20" l="1"/>
  <c r="G8" i="20"/>
  <c r="J13" i="20"/>
  <c r="L13" i="20"/>
  <c r="P13" i="20"/>
  <c r="Q13" i="20"/>
  <c r="J14" i="20"/>
  <c r="L14" i="20"/>
  <c r="P14" i="20"/>
  <c r="Q14" i="20"/>
  <c r="J15" i="20"/>
  <c r="L15" i="20"/>
  <c r="P15" i="20"/>
  <c r="Q15" i="20"/>
  <c r="J16" i="20"/>
  <c r="L16" i="20"/>
  <c r="P16" i="20"/>
  <c r="Q16" i="20"/>
  <c r="J17" i="20"/>
  <c r="L17" i="20"/>
  <c r="P17" i="20"/>
  <c r="Q17" i="20"/>
  <c r="J18" i="20"/>
  <c r="L18" i="20"/>
  <c r="P18" i="20"/>
  <c r="Q18" i="20"/>
  <c r="J19" i="20"/>
  <c r="L19" i="20"/>
  <c r="P19" i="20"/>
  <c r="Q19" i="20"/>
  <c r="Q20" i="20"/>
  <c r="D23" i="20"/>
  <c r="C31" i="20"/>
  <c r="D31" i="20"/>
  <c r="G31" i="20"/>
  <c r="A32" i="20"/>
  <c r="C32" i="20"/>
  <c r="A33" i="20"/>
  <c r="C33" i="20"/>
  <c r="A34" i="20"/>
  <c r="C34" i="20"/>
  <c r="F34" i="20"/>
  <c r="G34" i="20"/>
  <c r="A35" i="20"/>
  <c r="F35" i="20"/>
  <c r="G35" i="20"/>
  <c r="A36" i="20"/>
  <c r="C36" i="20"/>
  <c r="A37" i="20"/>
  <c r="C37" i="20"/>
  <c r="A38" i="20"/>
  <c r="C38" i="20"/>
  <c r="A39" i="20"/>
  <c r="C39" i="20"/>
  <c r="F39" i="20"/>
  <c r="G39" i="20"/>
  <c r="A40" i="20"/>
  <c r="C40" i="20"/>
  <c r="F40" i="20"/>
  <c r="G40" i="20"/>
  <c r="A41" i="20"/>
  <c r="A42" i="20"/>
  <c r="A43" i="20"/>
  <c r="C44" i="20"/>
  <c r="B3" i="19"/>
  <c r="B4" i="19"/>
  <c r="B5" i="19"/>
  <c r="W1" i="18"/>
  <c r="W2" i="18"/>
  <c r="W3" i="18"/>
  <c r="AD6" i="18"/>
  <c r="AE6" i="18"/>
  <c r="AF6" i="18"/>
  <c r="AG6" i="18"/>
  <c r="AH6" i="18"/>
  <c r="AI6" i="18"/>
  <c r="AJ6" i="18"/>
  <c r="AK6" i="18"/>
  <c r="AL6" i="18"/>
  <c r="AM6" i="18"/>
  <c r="AN6" i="18"/>
  <c r="AO6" i="18"/>
  <c r="AP6" i="18"/>
  <c r="AQ6" i="18"/>
  <c r="AR6" i="18"/>
  <c r="AS6" i="18"/>
  <c r="AT6" i="18"/>
  <c r="H7" i="18"/>
  <c r="H8" i="18"/>
  <c r="Y21" i="18"/>
  <c r="Y8" i="18"/>
  <c r="H9" i="18"/>
  <c r="Z21" i="18"/>
  <c r="Z27" i="18"/>
  <c r="AT9" i="18"/>
  <c r="H10" i="18"/>
  <c r="Y10" i="18"/>
  <c r="D11" i="18"/>
  <c r="J11" i="18"/>
  <c r="V11" i="18"/>
  <c r="D13" i="18"/>
  <c r="X19" i="18"/>
  <c r="Y19" i="18"/>
  <c r="Z19" i="18"/>
  <c r="AA19" i="18"/>
  <c r="AB19" i="18"/>
  <c r="AC19" i="18"/>
  <c r="AD19" i="18"/>
  <c r="AE19" i="18"/>
  <c r="AF19" i="18"/>
  <c r="AG19" i="18"/>
  <c r="AH19" i="18"/>
  <c r="AI19" i="18"/>
  <c r="AJ19" i="18"/>
  <c r="AK19" i="18"/>
  <c r="AL19" i="18"/>
  <c r="AM19" i="18"/>
  <c r="AN19" i="18"/>
  <c r="AO19" i="18"/>
  <c r="AP19" i="18"/>
  <c r="AQ19" i="18"/>
  <c r="AR19" i="18"/>
  <c r="AS19" i="18"/>
  <c r="AT19" i="18"/>
  <c r="X20" i="18"/>
  <c r="Y20" i="18"/>
  <c r="AA27" i="18"/>
  <c r="AA28" i="18"/>
  <c r="X30" i="18"/>
  <c r="AA31" i="18"/>
  <c r="AB31" i="18"/>
  <c r="AC31" i="18"/>
  <c r="AD31" i="18"/>
  <c r="AE31" i="18"/>
  <c r="AF31" i="18"/>
  <c r="AG31" i="18"/>
  <c r="AH31" i="18"/>
  <c r="AI31" i="18"/>
  <c r="AJ31" i="18"/>
  <c r="AK31" i="18"/>
  <c r="AL31" i="18"/>
  <c r="AM31" i="18"/>
  <c r="AN31" i="18"/>
  <c r="AO31" i="18"/>
  <c r="AP31" i="18"/>
  <c r="AQ31" i="18"/>
  <c r="AR31" i="18"/>
  <c r="AS31" i="18"/>
  <c r="AT31" i="18"/>
  <c r="X32" i="18"/>
  <c r="X33" i="18"/>
  <c r="AB43" i="18"/>
  <c r="AC43" i="18"/>
  <c r="AD43" i="18"/>
  <c r="AE43" i="18"/>
  <c r="AF43" i="18"/>
  <c r="AG43" i="18"/>
  <c r="AH43" i="18"/>
  <c r="AI43" i="18"/>
  <c r="AJ43" i="18"/>
  <c r="AK43" i="18"/>
  <c r="AL43" i="18"/>
  <c r="AM43" i="18"/>
  <c r="AN43" i="18"/>
  <c r="AO43" i="18"/>
  <c r="AP43" i="18"/>
  <c r="AQ43" i="18"/>
  <c r="AR43" i="18"/>
  <c r="C44" i="18"/>
  <c r="Z44" i="18"/>
  <c r="AA45" i="18"/>
  <c r="X46" i="18"/>
  <c r="F48" i="18"/>
  <c r="X48" i="18"/>
  <c r="Y48" i="18"/>
  <c r="B49" i="18"/>
  <c r="B50" i="18"/>
  <c r="B51" i="18"/>
  <c r="B52" i="18"/>
  <c r="E52" i="18"/>
  <c r="B53" i="18"/>
  <c r="E53" i="18"/>
  <c r="B54" i="18"/>
  <c r="E54" i="18"/>
  <c r="B55" i="18"/>
  <c r="E55" i="18"/>
  <c r="B56" i="18"/>
  <c r="E56" i="18"/>
  <c r="B57" i="18"/>
  <c r="E57" i="18"/>
  <c r="B58" i="18"/>
  <c r="E58" i="18"/>
  <c r="B59" i="18"/>
  <c r="E59" i="18"/>
  <c r="B60" i="18"/>
  <c r="E60" i="18"/>
  <c r="A8" i="13"/>
  <c r="A9" i="13"/>
  <c r="G11" i="13"/>
  <c r="AN12" i="13"/>
  <c r="AN15" i="13"/>
  <c r="G17" i="13"/>
  <c r="AN17" i="13"/>
  <c r="G21" i="13"/>
  <c r="G22" i="13"/>
  <c r="G23" i="13"/>
  <c r="G24" i="13"/>
  <c r="G26" i="13"/>
  <c r="G27" i="13"/>
  <c r="D14" i="18"/>
  <c r="AF1" i="5"/>
  <c r="AT1" i="5"/>
  <c r="CM4" i="5"/>
  <c r="CO4" i="5"/>
  <c r="AF6" i="5"/>
  <c r="AT6" i="5"/>
  <c r="BN6" i="5"/>
  <c r="BD8" i="5"/>
  <c r="BE8" i="5"/>
  <c r="C9" i="5"/>
  <c r="I72" i="5"/>
  <c r="I9" i="5"/>
  <c r="S72" i="5"/>
  <c r="J9" i="5"/>
  <c r="O72" i="5"/>
  <c r="L9" i="5"/>
  <c r="R72" i="5"/>
  <c r="M9" i="5"/>
  <c r="BD9" i="5"/>
  <c r="BE9" i="5"/>
  <c r="C10" i="5"/>
  <c r="C11" i="5"/>
  <c r="C72" i="5"/>
  <c r="C99" i="5"/>
  <c r="BH12" i="5"/>
  <c r="AF13" i="5"/>
  <c r="BH14" i="5"/>
  <c r="CJ15" i="5"/>
  <c r="CJ16" i="5"/>
  <c r="B18" i="5"/>
  <c r="B77" i="5"/>
  <c r="Q18" i="5"/>
  <c r="S18" i="5"/>
  <c r="T18" i="5"/>
  <c r="Z18" i="5"/>
  <c r="AA18" i="5"/>
  <c r="D110" i="5"/>
  <c r="AB18" i="5"/>
  <c r="AC18" i="5"/>
  <c r="AF18" i="5"/>
  <c r="AD18" i="5"/>
  <c r="AH18" i="5"/>
  <c r="B19" i="5"/>
  <c r="B78" i="5"/>
  <c r="D19" i="5"/>
  <c r="F19" i="5"/>
  <c r="D103" i="5"/>
  <c r="K19" i="5"/>
  <c r="P19" i="5"/>
  <c r="K78" i="5"/>
  <c r="Q19" i="5"/>
  <c r="S19" i="5"/>
  <c r="T19" i="5"/>
  <c r="U19" i="5"/>
  <c r="Z19" i="5"/>
  <c r="AA19" i="5"/>
  <c r="AB19" i="5"/>
  <c r="AC19" i="5"/>
  <c r="AF19" i="5"/>
  <c r="AD19" i="5"/>
  <c r="AH19" i="5"/>
  <c r="AK19" i="5"/>
  <c r="AL19" i="5"/>
  <c r="AM19" i="5"/>
  <c r="AN19" i="5"/>
  <c r="B20" i="5"/>
  <c r="B79" i="5"/>
  <c r="D20" i="5"/>
  <c r="F20" i="5"/>
  <c r="J20" i="5"/>
  <c r="K20" i="5"/>
  <c r="L20" i="5"/>
  <c r="N20" i="5"/>
  <c r="O20" i="5"/>
  <c r="D106" i="5"/>
  <c r="P20" i="5"/>
  <c r="K79" i="5"/>
  <c r="Q20" i="5"/>
  <c r="S20" i="5"/>
  <c r="T20" i="5"/>
  <c r="U20" i="5"/>
  <c r="Z20" i="5"/>
  <c r="AA20" i="5"/>
  <c r="AB20" i="5"/>
  <c r="AC20" i="5"/>
  <c r="AF20" i="5"/>
  <c r="AD20" i="5"/>
  <c r="AH20" i="5"/>
  <c r="AK20" i="5"/>
  <c r="AL20" i="5"/>
  <c r="AM20" i="5"/>
  <c r="AN20" i="5"/>
  <c r="B21" i="5"/>
  <c r="B80" i="5"/>
  <c r="F21" i="5"/>
  <c r="C80" i="5"/>
  <c r="S21" i="5"/>
  <c r="T21" i="5"/>
  <c r="Z21" i="5"/>
  <c r="AA21" i="5"/>
  <c r="AB21" i="5"/>
  <c r="AC21" i="5"/>
  <c r="AF21" i="5"/>
  <c r="AH21" i="5"/>
  <c r="E25" i="5"/>
  <c r="G25" i="5"/>
  <c r="J25" i="5"/>
  <c r="K25" i="5"/>
  <c r="L25" i="5"/>
  <c r="M25" i="5"/>
  <c r="Q25" i="5"/>
  <c r="S25" i="5"/>
  <c r="T25" i="5"/>
  <c r="AA25" i="5"/>
  <c r="AB25" i="5"/>
  <c r="AH25" i="5"/>
  <c r="AK25" i="5"/>
  <c r="AL25" i="5"/>
  <c r="AM25" i="5"/>
  <c r="AN25" i="5"/>
  <c r="AO25" i="5"/>
  <c r="AP25" i="5"/>
  <c r="BD25" i="5"/>
  <c r="BC37" i="5"/>
  <c r="BJ50" i="5"/>
  <c r="DS55" i="5"/>
  <c r="DT55" i="5"/>
  <c r="DX55" i="5"/>
  <c r="DS56" i="5"/>
  <c r="DT56" i="5"/>
  <c r="DN57" i="5"/>
  <c r="DS57" i="5"/>
  <c r="DT57" i="5"/>
  <c r="DX57" i="5"/>
  <c r="DN58" i="5"/>
  <c r="DS58" i="5"/>
  <c r="DT58" i="5"/>
  <c r="BC59" i="5"/>
  <c r="DN59" i="5"/>
  <c r="DS59" i="5"/>
  <c r="DT59" i="5"/>
  <c r="DN60" i="5"/>
  <c r="DS60" i="5"/>
  <c r="DT60" i="5"/>
  <c r="DS61" i="5"/>
  <c r="DT61" i="5"/>
  <c r="W65" i="5"/>
  <c r="A66" i="5"/>
  <c r="A93" i="5"/>
  <c r="W66" i="5"/>
  <c r="A67" i="5"/>
  <c r="A94" i="5"/>
  <c r="C71" i="5"/>
  <c r="C98" i="5"/>
  <c r="I71" i="5"/>
  <c r="J71" i="5"/>
  <c r="K71" i="5"/>
  <c r="L71" i="5"/>
  <c r="M71" i="5"/>
  <c r="N71" i="5"/>
  <c r="O71" i="5"/>
  <c r="R71" i="5"/>
  <c r="S71" i="5"/>
  <c r="J72" i="5"/>
  <c r="K72" i="5"/>
  <c r="M72" i="5"/>
  <c r="N72" i="5"/>
  <c r="A77" i="5"/>
  <c r="C77" i="5"/>
  <c r="D77" i="5"/>
  <c r="E77" i="5"/>
  <c r="F77" i="5"/>
  <c r="G77" i="5"/>
  <c r="H77" i="5"/>
  <c r="I77" i="5"/>
  <c r="J77" i="5"/>
  <c r="S77" i="5"/>
  <c r="T77" i="5"/>
  <c r="A78" i="5"/>
  <c r="E78" i="5"/>
  <c r="F78" i="5"/>
  <c r="H78" i="5"/>
  <c r="I78" i="5"/>
  <c r="J78" i="5"/>
  <c r="A79" i="5"/>
  <c r="E79" i="5"/>
  <c r="F79" i="5"/>
  <c r="A80" i="5"/>
  <c r="D80" i="5"/>
  <c r="E80" i="5"/>
  <c r="F80" i="5"/>
  <c r="G80" i="5"/>
  <c r="H80" i="5"/>
  <c r="I80" i="5"/>
  <c r="J80" i="5"/>
  <c r="K80" i="5"/>
  <c r="S80" i="5"/>
  <c r="T80" i="5"/>
  <c r="A81" i="5"/>
  <c r="B81" i="5"/>
  <c r="B82" i="5"/>
  <c r="B83" i="5"/>
  <c r="B84" i="5"/>
  <c r="B85" i="5"/>
  <c r="A100" i="5"/>
  <c r="C100" i="5"/>
  <c r="C104" i="5"/>
  <c r="D104" i="5"/>
  <c r="E104" i="5"/>
  <c r="B117" i="5"/>
  <c r="B118" i="5"/>
  <c r="A2" i="2"/>
  <c r="F8" i="2"/>
  <c r="H8" i="2"/>
  <c r="E13" i="2"/>
  <c r="F13" i="2"/>
  <c r="E14" i="2"/>
  <c r="F14" i="2"/>
  <c r="F15" i="2"/>
  <c r="F16" i="2"/>
  <c r="F20" i="2"/>
  <c r="F22" i="2"/>
  <c r="F23" i="2"/>
  <c r="F24" i="2"/>
  <c r="H24" i="2"/>
  <c r="F25" i="2"/>
  <c r="F26" i="2"/>
  <c r="F29" i="2"/>
  <c r="F30" i="2"/>
  <c r="F31" i="2"/>
  <c r="E34" i="2"/>
  <c r="F34" i="2"/>
  <c r="E35" i="2"/>
  <c r="F35" i="2"/>
  <c r="F36" i="2"/>
  <c r="F37" i="2"/>
  <c r="E38" i="2"/>
  <c r="F38" i="2"/>
  <c r="E39" i="2"/>
  <c r="F39" i="2"/>
  <c r="E40" i="2"/>
  <c r="F40" i="2"/>
  <c r="E41" i="2"/>
  <c r="F41" i="2"/>
  <c r="E42" i="2"/>
  <c r="F42" i="2"/>
  <c r="E43" i="2"/>
  <c r="F43" i="2"/>
  <c r="E44" i="2"/>
  <c r="F44" i="2"/>
  <c r="E45" i="2"/>
  <c r="F45" i="2"/>
  <c r="E46" i="2"/>
  <c r="F46" i="2"/>
  <c r="E47" i="2"/>
  <c r="F47" i="2"/>
  <c r="E48" i="2"/>
  <c r="F48" i="2"/>
  <c r="E49" i="2"/>
  <c r="F49" i="2"/>
  <c r="E50" i="2"/>
  <c r="F50" i="2"/>
  <c r="E51" i="2"/>
  <c r="F51" i="2"/>
  <c r="E52" i="2"/>
  <c r="F52" i="2"/>
  <c r="F53" i="2"/>
  <c r="F54" i="2"/>
  <c r="E56" i="2"/>
  <c r="F56" i="2"/>
  <c r="E57" i="2"/>
  <c r="F57" i="2"/>
  <c r="F58" i="2"/>
  <c r="E59" i="2"/>
  <c r="F59" i="2"/>
  <c r="F60" i="2"/>
  <c r="F61" i="2"/>
  <c r="E62" i="2"/>
  <c r="F62" i="2"/>
  <c r="F63" i="2"/>
  <c r="X21" i="18"/>
  <c r="H11" i="18"/>
  <c r="Y27" i="18"/>
  <c r="Y11" i="18"/>
  <c r="Y13" i="18"/>
  <c r="Y14" i="18"/>
  <c r="AT7" i="18"/>
  <c r="AS7" i="18"/>
  <c r="AR7" i="18"/>
  <c r="AQ7" i="18"/>
  <c r="AP7" i="18"/>
  <c r="AO7" i="18"/>
  <c r="AN7" i="18"/>
  <c r="AM7" i="18"/>
  <c r="AL7" i="18"/>
  <c r="AK7" i="18"/>
  <c r="AJ7" i="18"/>
  <c r="AI7" i="18"/>
  <c r="AH7" i="18"/>
  <c r="AG7" i="18"/>
  <c r="AF7" i="18"/>
  <c r="AE7" i="18"/>
  <c r="AD7" i="18"/>
  <c r="AC7" i="18"/>
  <c r="AB7" i="18"/>
  <c r="AA7" i="18"/>
  <c r="Z7" i="18"/>
  <c r="E10" i="19"/>
  <c r="H3" i="2"/>
  <c r="F3" i="2"/>
  <c r="K77" i="5"/>
  <c r="D107" i="5"/>
  <c r="P77" i="5"/>
  <c r="O77" i="5"/>
  <c r="C110" i="5"/>
  <c r="E110" i="5"/>
  <c r="AD25" i="5"/>
  <c r="C78" i="5"/>
  <c r="D78" i="5"/>
  <c r="C103" i="5"/>
  <c r="G78" i="5"/>
  <c r="D105" i="5"/>
  <c r="O78" i="5"/>
  <c r="P78" i="5"/>
  <c r="S78" i="5"/>
  <c r="E112" i="5"/>
  <c r="D112" i="5"/>
  <c r="T78" i="5"/>
  <c r="C112" i="5"/>
  <c r="C79" i="5"/>
  <c r="D79" i="5"/>
  <c r="G79" i="5"/>
  <c r="H79" i="5"/>
  <c r="C105" i="5"/>
  <c r="E105" i="5"/>
  <c r="J79" i="5"/>
  <c r="I79" i="5"/>
  <c r="C106" i="5"/>
  <c r="E106" i="5"/>
  <c r="P79" i="5"/>
  <c r="O79" i="5"/>
  <c r="S79" i="5"/>
  <c r="T79" i="5"/>
  <c r="P80" i="5"/>
  <c r="O80" i="5"/>
  <c r="AD21" i="5"/>
  <c r="R20" i="5"/>
  <c r="R21" i="5"/>
  <c r="R19" i="5"/>
  <c r="R18" i="5"/>
  <c r="F9" i="5"/>
  <c r="L72" i="5"/>
  <c r="V21" i="18"/>
  <c r="X27" i="18"/>
  <c r="F49" i="18"/>
  <c r="Y46" i="18"/>
  <c r="Y33" i="18"/>
  <c r="AT20" i="18"/>
  <c r="AS20" i="18"/>
  <c r="AR20" i="18"/>
  <c r="AQ20" i="18"/>
  <c r="AP20" i="18"/>
  <c r="AO20" i="18"/>
  <c r="AN20" i="18"/>
  <c r="AM20" i="18"/>
  <c r="AL20" i="18"/>
  <c r="AK20" i="18"/>
  <c r="AJ20" i="18"/>
  <c r="AI20" i="18"/>
  <c r="AH20" i="18"/>
  <c r="AG20" i="18"/>
  <c r="AF20" i="18"/>
  <c r="AE20" i="18"/>
  <c r="AD20" i="18"/>
  <c r="AC20" i="18"/>
  <c r="AB20" i="18"/>
  <c r="AA20" i="18"/>
  <c r="Z20" i="18"/>
  <c r="D10" i="5"/>
  <c r="D71" i="5"/>
  <c r="D98" i="5"/>
  <c r="H20" i="2"/>
  <c r="D11" i="5"/>
  <c r="D72" i="5"/>
  <c r="D99" i="5"/>
  <c r="D32" i="20"/>
  <c r="E107" i="5"/>
  <c r="E103" i="5"/>
  <c r="D33" i="20"/>
  <c r="L79" i="5"/>
  <c r="X20" i="5"/>
  <c r="V20" i="5"/>
  <c r="Y20" i="5"/>
  <c r="W20" i="5"/>
  <c r="L80" i="5"/>
  <c r="X21" i="5"/>
  <c r="V21" i="5"/>
  <c r="AI21" i="5"/>
  <c r="Y21" i="5"/>
  <c r="W21" i="5"/>
  <c r="L78" i="5"/>
  <c r="Y19" i="5"/>
  <c r="X19" i="5"/>
  <c r="W19" i="5"/>
  <c r="V19" i="5"/>
  <c r="Y18" i="5"/>
  <c r="W18" i="5"/>
  <c r="W25" i="5"/>
  <c r="D108" i="5"/>
  <c r="L77" i="5"/>
  <c r="R25" i="5"/>
  <c r="X18" i="5"/>
  <c r="V18" i="5"/>
  <c r="AT48" i="18"/>
  <c r="AT23" i="18"/>
  <c r="AS48" i="18"/>
  <c r="AS23" i="18"/>
  <c r="AR48" i="18"/>
  <c r="AR52" i="18"/>
  <c r="AR23" i="18"/>
  <c r="AQ48" i="18"/>
  <c r="AQ52" i="18"/>
  <c r="AQ23" i="18"/>
  <c r="AP48" i="18"/>
  <c r="AP52" i="18"/>
  <c r="AP23" i="18"/>
  <c r="AO48" i="18"/>
  <c r="AO52" i="18"/>
  <c r="AO23" i="18"/>
  <c r="AN48" i="18"/>
  <c r="AN52" i="18"/>
  <c r="AN23" i="18"/>
  <c r="AM48" i="18"/>
  <c r="AM52" i="18"/>
  <c r="AM23" i="18"/>
  <c r="AL48" i="18"/>
  <c r="AL52" i="18"/>
  <c r="AL23" i="18"/>
  <c r="AK48" i="18"/>
  <c r="AK52" i="18"/>
  <c r="AK23" i="18"/>
  <c r="AJ48" i="18"/>
  <c r="AJ52" i="18"/>
  <c r="AJ23" i="18"/>
  <c r="AI48" i="18"/>
  <c r="AI52" i="18"/>
  <c r="AI23" i="18"/>
  <c r="AH48" i="18"/>
  <c r="AH52" i="18"/>
  <c r="AH23" i="18"/>
  <c r="AG48" i="18"/>
  <c r="AG52" i="18"/>
  <c r="AG23" i="18"/>
  <c r="AF48" i="18"/>
  <c r="AF52" i="18"/>
  <c r="AF23" i="18"/>
  <c r="AE48" i="18"/>
  <c r="AE52" i="18"/>
  <c r="AE23" i="18"/>
  <c r="AD48" i="18"/>
  <c r="AD52" i="18"/>
  <c r="AD23" i="18"/>
  <c r="AC48" i="18"/>
  <c r="AC52" i="18"/>
  <c r="AC23" i="18"/>
  <c r="AB48" i="18"/>
  <c r="AB52" i="18"/>
  <c r="AB23" i="18"/>
  <c r="AA48" i="18"/>
  <c r="AA52" i="18"/>
  <c r="AA23" i="18"/>
  <c r="Z48" i="18"/>
  <c r="G32" i="20"/>
  <c r="F32" i="20"/>
  <c r="F33" i="20"/>
  <c r="G33" i="20"/>
  <c r="AE20" i="5"/>
  <c r="AX20" i="5"/>
  <c r="N79" i="5"/>
  <c r="M79" i="5"/>
  <c r="AQ20" i="5"/>
  <c r="AS20" i="5"/>
  <c r="AG20" i="5"/>
  <c r="AE21" i="5"/>
  <c r="AX21" i="5"/>
  <c r="AQ21" i="5"/>
  <c r="AS21" i="5"/>
  <c r="AG21" i="5"/>
  <c r="N80" i="5"/>
  <c r="M80" i="5"/>
  <c r="AE19" i="5"/>
  <c r="AX19" i="5"/>
  <c r="N78" i="5"/>
  <c r="M78" i="5"/>
  <c r="AQ19" i="5"/>
  <c r="AS19" i="5"/>
  <c r="AG19" i="5"/>
  <c r="D36" i="20"/>
  <c r="E108" i="5"/>
  <c r="D109" i="5"/>
  <c r="X25" i="5"/>
  <c r="AI25" i="5"/>
  <c r="AE18" i="5"/>
  <c r="AX18" i="5"/>
  <c r="AX22" i="5"/>
  <c r="X9" i="5"/>
  <c r="W9" i="5"/>
  <c r="AQ18" i="5"/>
  <c r="AS18" i="5"/>
  <c r="C109" i="5"/>
  <c r="N77" i="5"/>
  <c r="M77" i="5"/>
  <c r="V25" i="5"/>
  <c r="AI20" i="5"/>
  <c r="AI19" i="5"/>
  <c r="AI18" i="5"/>
  <c r="V79" i="5"/>
  <c r="X79" i="5"/>
  <c r="U79" i="5"/>
  <c r="AR21" i="5"/>
  <c r="Q80" i="5"/>
  <c r="V80" i="5"/>
  <c r="X80" i="5"/>
  <c r="V78" i="5"/>
  <c r="X78" i="5"/>
  <c r="G36" i="20"/>
  <c r="F36" i="20"/>
  <c r="D37" i="20"/>
  <c r="AE25" i="5"/>
  <c r="AS22" i="5"/>
  <c r="AS24" i="5"/>
  <c r="C113" i="5"/>
  <c r="V77" i="5"/>
  <c r="X77" i="5"/>
  <c r="X83" i="5"/>
  <c r="X85" i="5"/>
  <c r="C114" i="5"/>
  <c r="E109" i="5"/>
  <c r="Q79" i="5"/>
  <c r="Q78" i="5"/>
  <c r="AR20" i="5"/>
  <c r="AT20" i="5"/>
  <c r="AR19" i="5"/>
  <c r="U78" i="5"/>
  <c r="AT19" i="5"/>
  <c r="AU19" i="5"/>
  <c r="AG18" i="5"/>
  <c r="AR18" i="5"/>
  <c r="AT18" i="5"/>
  <c r="AU18" i="5"/>
  <c r="G37" i="20"/>
  <c r="F37" i="20"/>
  <c r="W77" i="5"/>
  <c r="AU22" i="5"/>
  <c r="AW18" i="5"/>
  <c r="AY18" i="5"/>
  <c r="AW19" i="5"/>
  <c r="AY19" i="5"/>
  <c r="W78" i="5"/>
  <c r="AT21" i="5"/>
  <c r="AU21" i="5"/>
  <c r="U80" i="5"/>
  <c r="AT22" i="5"/>
  <c r="AU20" i="5"/>
  <c r="AG25" i="5"/>
  <c r="AT25" i="5"/>
  <c r="D111" i="5"/>
  <c r="Q77" i="5"/>
  <c r="D113" i="5"/>
  <c r="U77" i="5"/>
  <c r="BJ1" i="5"/>
  <c r="AW21" i="5"/>
  <c r="AY21" i="5"/>
  <c r="W80" i="5"/>
  <c r="W79" i="5"/>
  <c r="W81" i="5"/>
  <c r="AW20" i="5"/>
  <c r="AY20" i="5"/>
  <c r="AU25" i="5"/>
  <c r="BN15" i="5"/>
  <c r="D38" i="20"/>
  <c r="E111" i="5"/>
  <c r="E113" i="5"/>
  <c r="D114" i="5"/>
  <c r="D41" i="20"/>
  <c r="BJ13" i="5"/>
  <c r="C6" i="18"/>
  <c r="BJ12" i="5"/>
  <c r="BJ11" i="5"/>
  <c r="BJ10" i="5"/>
  <c r="D16" i="18"/>
  <c r="E117" i="5"/>
  <c r="D43" i="20"/>
  <c r="W84" i="5"/>
  <c r="F38" i="20"/>
  <c r="G38" i="20"/>
  <c r="F41" i="20"/>
  <c r="G41" i="20"/>
  <c r="E114" i="5"/>
  <c r="C10" i="18"/>
  <c r="C51" i="18"/>
  <c r="E51" i="18"/>
  <c r="BK13" i="5"/>
  <c r="BL13" i="5"/>
  <c r="C9" i="18"/>
  <c r="BL12" i="5"/>
  <c r="BK12" i="5"/>
  <c r="C8" i="18"/>
  <c r="BL11" i="5"/>
  <c r="BK11" i="5"/>
  <c r="C7" i="18"/>
  <c r="BJ14" i="5"/>
  <c r="BL10" i="5"/>
  <c r="BK10" i="5"/>
  <c r="D50" i="18"/>
  <c r="Z49" i="18"/>
  <c r="Y49" i="18"/>
  <c r="D49" i="18"/>
  <c r="G43" i="20"/>
  <c r="F43" i="20"/>
  <c r="E10" i="18"/>
  <c r="BN13" i="5"/>
  <c r="C50" i="18"/>
  <c r="E50" i="18"/>
  <c r="Z43" i="18"/>
  <c r="Z52" i="18"/>
  <c r="E9" i="18"/>
  <c r="BM12" i="5"/>
  <c r="C49" i="18"/>
  <c r="E49" i="18"/>
  <c r="G49" i="18"/>
  <c r="Y43" i="18"/>
  <c r="E8" i="18"/>
  <c r="BM11" i="5"/>
  <c r="C48" i="18"/>
  <c r="E48" i="18"/>
  <c r="G48" i="18"/>
  <c r="X43" i="18"/>
  <c r="C11" i="18"/>
  <c r="E7" i="18"/>
  <c r="BL14" i="5"/>
  <c r="BM10" i="5"/>
  <c r="U49" i="18"/>
  <c r="BK14" i="5"/>
  <c r="I10" i="18"/>
  <c r="K10" i="18"/>
  <c r="G10" i="18"/>
  <c r="F9" i="18"/>
  <c r="BN12" i="5"/>
  <c r="F8" i="18"/>
  <c r="BN11" i="5"/>
  <c r="X52" i="18"/>
  <c r="U43" i="18"/>
  <c r="AS43" i="18"/>
  <c r="AS52" i="18"/>
  <c r="E11" i="18"/>
  <c r="BM14" i="5"/>
  <c r="AT23" i="5"/>
  <c r="F7" i="18"/>
  <c r="BN10" i="5"/>
  <c r="AT43" i="18"/>
  <c r="AT52" i="18"/>
  <c r="X53" i="18"/>
  <c r="AT24" i="5"/>
  <c r="AU23" i="5"/>
  <c r="BN14" i="5"/>
  <c r="BN16" i="5"/>
  <c r="G9" i="18"/>
  <c r="I9" i="18"/>
  <c r="I8" i="18"/>
  <c r="G8" i="18"/>
  <c r="F11" i="18"/>
  <c r="I7" i="18"/>
  <c r="G7" i="18"/>
  <c r="G11" i="18"/>
  <c r="AU24" i="5"/>
  <c r="E115" i="5"/>
  <c r="W82" i="5"/>
  <c r="W83" i="5"/>
  <c r="W85" i="5"/>
  <c r="K9" i="18"/>
  <c r="Z22" i="18"/>
  <c r="K8" i="18"/>
  <c r="Y22" i="18"/>
  <c r="K7" i="18"/>
  <c r="I11" i="18"/>
  <c r="X22" i="18"/>
  <c r="AU26" i="5"/>
  <c r="D15" i="18"/>
  <c r="D42" i="20"/>
  <c r="E116" i="5"/>
  <c r="E118" i="5"/>
  <c r="Z23" i="18"/>
  <c r="Z28" i="18"/>
  <c r="Y23" i="18"/>
  <c r="Y35" i="18"/>
  <c r="Y28" i="18"/>
  <c r="Y34" i="18"/>
  <c r="X23" i="18"/>
  <c r="V22" i="18"/>
  <c r="X28" i="18"/>
  <c r="K11" i="18"/>
  <c r="M10" i="18"/>
  <c r="D17" i="18"/>
  <c r="E8" i="19"/>
  <c r="D44" i="20"/>
  <c r="F44" i="20"/>
  <c r="G42" i="20"/>
  <c r="G44" i="20"/>
  <c r="F49" i="20"/>
  <c r="F42" i="20"/>
  <c r="AK32" i="18"/>
  <c r="AJ32" i="18"/>
  <c r="AI32" i="18"/>
  <c r="AH32" i="18"/>
  <c r="AG32" i="18"/>
  <c r="AF32" i="18"/>
  <c r="AE32" i="18"/>
  <c r="AD32" i="18"/>
  <c r="AC32" i="18"/>
  <c r="AK30" i="18"/>
  <c r="AB32" i="18"/>
  <c r="V23" i="18"/>
  <c r="X34" i="18"/>
  <c r="X35" i="18"/>
  <c r="AT30" i="18"/>
  <c r="AS30" i="18"/>
  <c r="AJ30" i="18"/>
  <c r="AI30" i="18"/>
  <c r="AH30" i="18"/>
  <c r="AB30" i="18"/>
  <c r="AA30" i="18"/>
  <c r="Z30" i="18"/>
  <c r="BA12" i="18"/>
  <c r="AV9" i="18"/>
  <c r="BA8" i="18"/>
  <c r="Y36" i="18"/>
  <c r="X36" i="18"/>
  <c r="AT8" i="18"/>
  <c r="AT10" i="18"/>
  <c r="AS8" i="18"/>
  <c r="AK8" i="18"/>
  <c r="AJ8" i="18"/>
  <c r="AI8" i="18"/>
  <c r="AH8" i="18"/>
  <c r="AB8" i="18"/>
  <c r="AA8" i="18"/>
  <c r="Z8" i="18"/>
  <c r="V32" i="18"/>
  <c r="AR30" i="18"/>
  <c r="AQ30" i="18"/>
  <c r="AP30" i="18"/>
  <c r="AO30" i="18"/>
  <c r="AN30" i="18"/>
  <c r="AL30" i="18"/>
  <c r="AM30" i="18"/>
  <c r="AG30" i="18"/>
  <c r="AF30" i="18"/>
  <c r="AE30" i="18"/>
  <c r="AD30" i="18"/>
  <c r="AC30" i="18"/>
  <c r="BA9" i="18"/>
  <c r="AT11" i="18"/>
  <c r="AT13" i="18"/>
  <c r="AR8" i="18"/>
  <c r="AQ8" i="18"/>
  <c r="AP8" i="18"/>
  <c r="AO8" i="18"/>
  <c r="AN8" i="18"/>
  <c r="AL8" i="18"/>
  <c r="AM8" i="18"/>
  <c r="AG8" i="18"/>
  <c r="AF8" i="18"/>
  <c r="AE8" i="18"/>
  <c r="AD8" i="18"/>
  <c r="AC8" i="18"/>
  <c r="Z9" i="18"/>
  <c r="AT46" i="18"/>
  <c r="AT53" i="18"/>
  <c r="AT33" i="18"/>
  <c r="AT34" i="18"/>
  <c r="AT35" i="18"/>
  <c r="BA10" i="18"/>
  <c r="BB8" i="18"/>
  <c r="Z10" i="18"/>
  <c r="BB9" i="18"/>
  <c r="BB10" i="18"/>
  <c r="BC8" i="18"/>
  <c r="Z11" i="18"/>
  <c r="Z13" i="18"/>
  <c r="Z14" i="18"/>
  <c r="AA9" i="18"/>
  <c r="BC10" i="18"/>
  <c r="BD8" i="18"/>
  <c r="BC9" i="18"/>
  <c r="AB9" i="18"/>
  <c r="AB10" i="18"/>
  <c r="F50" i="18"/>
  <c r="G50" i="18"/>
  <c r="Y44" i="18"/>
  <c r="Y52" i="18"/>
  <c r="Z46" i="18"/>
  <c r="Z53" i="18"/>
  <c r="Z33" i="18"/>
  <c r="Z34" i="18"/>
  <c r="Z35" i="18"/>
  <c r="AA10" i="18"/>
  <c r="BD9" i="18"/>
  <c r="BD10" i="18"/>
  <c r="BE8" i="18"/>
  <c r="AB11" i="18"/>
  <c r="AB13" i="18"/>
  <c r="AU51" i="18"/>
  <c r="AR55" i="18"/>
  <c r="X55" i="18"/>
  <c r="AW51" i="18"/>
  <c r="AR58" i="18"/>
  <c r="X58" i="18"/>
  <c r="Y53" i="18"/>
  <c r="Z36" i="18"/>
  <c r="AA11" i="18"/>
  <c r="AA13" i="18"/>
  <c r="AA14" i="18"/>
  <c r="AB14" i="18"/>
  <c r="BE10" i="18"/>
  <c r="BF8" i="18"/>
  <c r="BE9" i="18"/>
  <c r="AD9" i="18"/>
  <c r="AD10" i="18"/>
  <c r="AC9" i="18"/>
  <c r="F52" i="18"/>
  <c r="G52" i="18"/>
  <c r="AB46" i="18"/>
  <c r="AB53" i="18"/>
  <c r="AB33" i="18"/>
  <c r="AB34" i="18"/>
  <c r="AB35" i="18"/>
  <c r="F51" i="18"/>
  <c r="G51" i="18"/>
  <c r="AA46" i="18"/>
  <c r="AA53" i="18"/>
  <c r="AA33" i="18"/>
  <c r="AA34" i="18"/>
  <c r="AA35" i="18"/>
  <c r="BF9" i="18"/>
  <c r="BF10" i="18"/>
  <c r="BG8" i="18"/>
  <c r="AD11" i="18"/>
  <c r="AD13" i="18"/>
  <c r="AC10" i="18"/>
  <c r="AA36" i="18"/>
  <c r="AB36" i="18"/>
  <c r="BG9" i="18"/>
  <c r="AE9" i="18"/>
  <c r="F54" i="18"/>
  <c r="G54" i="18"/>
  <c r="AD46" i="18"/>
  <c r="AD53" i="18"/>
  <c r="AD33" i="18"/>
  <c r="AD34" i="18"/>
  <c r="AD35" i="18"/>
  <c r="AC11" i="18"/>
  <c r="AC13" i="18"/>
  <c r="AC14" i="18"/>
  <c r="AD14" i="18"/>
  <c r="AE10" i="18"/>
  <c r="F53" i="18"/>
  <c r="G53" i="18"/>
  <c r="AC46" i="18"/>
  <c r="AC53" i="18"/>
  <c r="AC33" i="18"/>
  <c r="AC34" i="18"/>
  <c r="AC35" i="18"/>
  <c r="AF9" i="18"/>
  <c r="AF10" i="18"/>
  <c r="BG10" i="18"/>
  <c r="BH8" i="18"/>
  <c r="AE11" i="18"/>
  <c r="AE13" i="18"/>
  <c r="AE14" i="18"/>
  <c r="AC36" i="18"/>
  <c r="AD36" i="18"/>
  <c r="AF11" i="18"/>
  <c r="AF13" i="18"/>
  <c r="AF14" i="18"/>
  <c r="BH9" i="18"/>
  <c r="BH10" i="18"/>
  <c r="BI8" i="18"/>
  <c r="F55" i="18"/>
  <c r="G55" i="18"/>
  <c r="AE46" i="18"/>
  <c r="AE53" i="18"/>
  <c r="AE33" i="18"/>
  <c r="AE34" i="18"/>
  <c r="AE35" i="18"/>
  <c r="AE36" i="18"/>
  <c r="F56" i="18"/>
  <c r="G56" i="18"/>
  <c r="AF46" i="18"/>
  <c r="AF53" i="18"/>
  <c r="AF33" i="18"/>
  <c r="AF34" i="18"/>
  <c r="AF35" i="18"/>
  <c r="AG9" i="18"/>
  <c r="BI9" i="18"/>
  <c r="AG10" i="18"/>
  <c r="AF36" i="18"/>
  <c r="AH9" i="18"/>
  <c r="AH10" i="18"/>
  <c r="BI10" i="18"/>
  <c r="BJ8" i="18"/>
  <c r="AG13" i="18"/>
  <c r="AG14" i="18"/>
  <c r="AG11" i="18"/>
  <c r="AH11" i="18"/>
  <c r="AH13" i="18"/>
  <c r="BJ9" i="18"/>
  <c r="BJ10" i="18"/>
  <c r="BK8" i="18"/>
  <c r="F57" i="18"/>
  <c r="G57" i="18"/>
  <c r="AG46" i="18"/>
  <c r="AG53" i="18"/>
  <c r="AG33" i="18"/>
  <c r="AG34" i="18"/>
  <c r="AG35" i="18"/>
  <c r="AG36" i="18"/>
  <c r="F58" i="18"/>
  <c r="G58" i="18"/>
  <c r="AH46" i="18"/>
  <c r="AH53" i="18"/>
  <c r="AH33" i="18"/>
  <c r="AH34" i="18"/>
  <c r="AH35" i="18"/>
  <c r="AH36" i="18"/>
  <c r="AI9" i="18"/>
  <c r="BK9" i="18"/>
  <c r="AH14" i="18"/>
  <c r="AI10" i="18"/>
  <c r="AJ9" i="18"/>
  <c r="AJ10" i="18"/>
  <c r="BK10" i="18"/>
  <c r="BL8" i="18"/>
  <c r="AI13" i="18"/>
  <c r="AI14" i="18"/>
  <c r="AI11" i="18"/>
  <c r="AJ11" i="18"/>
  <c r="AJ13" i="18"/>
  <c r="BL9" i="18"/>
  <c r="BL10" i="18"/>
  <c r="BM8" i="18"/>
  <c r="F59" i="18"/>
  <c r="G59" i="18"/>
  <c r="AI46" i="18"/>
  <c r="AI53" i="18"/>
  <c r="AI33" i="18"/>
  <c r="AI34" i="18"/>
  <c r="AI35" i="18"/>
  <c r="AI36" i="18"/>
  <c r="F60" i="18"/>
  <c r="G60" i="18"/>
  <c r="AJ46" i="18"/>
  <c r="AJ53" i="18"/>
  <c r="AJ33" i="18"/>
  <c r="AJ34" i="18"/>
  <c r="AJ35" i="18"/>
  <c r="AJ36" i="18"/>
  <c r="AK9" i="18"/>
  <c r="BM9" i="18"/>
  <c r="AJ14" i="18"/>
  <c r="AK10" i="18"/>
  <c r="AL9" i="18"/>
  <c r="AL10" i="18"/>
  <c r="BM10" i="18"/>
  <c r="BN8" i="18"/>
  <c r="AK13" i="18"/>
  <c r="AK14" i="18"/>
  <c r="AK11" i="18"/>
  <c r="AL11" i="18"/>
  <c r="AL13" i="18"/>
  <c r="BN9" i="18"/>
  <c r="BN10" i="18"/>
  <c r="BO8" i="18"/>
  <c r="AK46" i="18"/>
  <c r="AK53" i="18"/>
  <c r="AK33" i="18"/>
  <c r="AK34" i="18"/>
  <c r="AK35" i="18"/>
  <c r="AK36" i="18"/>
  <c r="AL46" i="18"/>
  <c r="AL53" i="18"/>
  <c r="AL33" i="18"/>
  <c r="AL34" i="18"/>
  <c r="AL35" i="18"/>
  <c r="AM9" i="18"/>
  <c r="BO9" i="18"/>
  <c r="AL14" i="18"/>
  <c r="AM10" i="18"/>
  <c r="AL36" i="18"/>
  <c r="AN9" i="18"/>
  <c r="AN10" i="18"/>
  <c r="BO10" i="18"/>
  <c r="BP8" i="18"/>
  <c r="AM11" i="18"/>
  <c r="AM13" i="18"/>
  <c r="AM14" i="18"/>
  <c r="AN11" i="18"/>
  <c r="AN13" i="18"/>
  <c r="BP9" i="18"/>
  <c r="BP10" i="18"/>
  <c r="BQ8" i="18"/>
  <c r="AM46" i="18"/>
  <c r="AM53" i="18"/>
  <c r="AM33" i="18"/>
  <c r="AM34" i="18"/>
  <c r="AM35" i="18"/>
  <c r="AM36" i="18"/>
  <c r="AN46" i="18"/>
  <c r="AN53" i="18"/>
  <c r="AN33" i="18"/>
  <c r="AN34" i="18"/>
  <c r="AN35" i="18"/>
  <c r="AO9" i="18"/>
  <c r="BQ10" i="18"/>
  <c r="BR8" i="18"/>
  <c r="BQ9" i="18"/>
  <c r="AP9" i="18"/>
  <c r="AP10" i="18"/>
  <c r="AN14" i="18"/>
  <c r="AO10" i="18"/>
  <c r="BR10" i="18"/>
  <c r="BS8" i="18"/>
  <c r="BR9" i="18"/>
  <c r="AP11" i="18"/>
  <c r="AP13" i="18"/>
  <c r="AN36" i="18"/>
  <c r="AO11" i="18"/>
  <c r="AO13" i="18"/>
  <c r="AO14" i="18"/>
  <c r="AP14" i="18"/>
  <c r="BS9" i="18"/>
  <c r="BT9" i="18"/>
  <c r="AQ9" i="18"/>
  <c r="AP46" i="18"/>
  <c r="AP53" i="18"/>
  <c r="AP33" i="18"/>
  <c r="AP34" i="18"/>
  <c r="AP35" i="18"/>
  <c r="AO46" i="18"/>
  <c r="AO53" i="18"/>
  <c r="AO33" i="18"/>
  <c r="AO34" i="18"/>
  <c r="AO35" i="18"/>
  <c r="BG12" i="18"/>
  <c r="AS9" i="18"/>
  <c r="BS10" i="18"/>
  <c r="BT8" i="18"/>
  <c r="BT10" i="18"/>
  <c r="AR9" i="18"/>
  <c r="AR10" i="18"/>
  <c r="AQ10" i="18"/>
  <c r="AP36" i="18"/>
  <c r="AO36" i="18"/>
  <c r="AR11" i="18"/>
  <c r="AR13" i="18"/>
  <c r="AQ11" i="18"/>
  <c r="AQ13" i="18"/>
  <c r="AQ14" i="18"/>
  <c r="AS10" i="18"/>
  <c r="AU9" i="18"/>
  <c r="AV11" i="18"/>
  <c r="AR46" i="18"/>
  <c r="AR53" i="18"/>
  <c r="AR33" i="18"/>
  <c r="AR34" i="18"/>
  <c r="AR35" i="18"/>
  <c r="AQ46" i="18"/>
  <c r="AQ53" i="18"/>
  <c r="AQ33" i="18"/>
  <c r="AQ34" i="18"/>
  <c r="AQ35" i="18"/>
  <c r="AQ36" i="18"/>
  <c r="AS11" i="18"/>
  <c r="AS13" i="18"/>
  <c r="AS14" i="18"/>
  <c r="AT14" i="18"/>
  <c r="AR14" i="18"/>
  <c r="AS33" i="18"/>
  <c r="AS34" i="18"/>
  <c r="AS35" i="18"/>
  <c r="AS46" i="18"/>
  <c r="AS53" i="18"/>
  <c r="AR36" i="18"/>
  <c r="AT36" i="18"/>
  <c r="AS36" i="18"/>
  <c r="AV52" i="18"/>
  <c r="AR56" i="18"/>
  <c r="X56" i="18"/>
  <c r="E12" i="19"/>
  <c r="AX52" i="18"/>
  <c r="AR59" i="18"/>
  <c r="X59" i="18"/>
  <c r="E14" i="19"/>
</calcChain>
</file>

<file path=xl/comments1.xml><?xml version="1.0" encoding="utf-8"?>
<comments xmlns="http://schemas.openxmlformats.org/spreadsheetml/2006/main">
  <authors>
    <author>SANJAY SUMAN</author>
  </authors>
  <commentList>
    <comment ref="E13" authorId="0" shapeId="0">
      <text>
        <r>
          <rPr>
            <b/>
            <sz val="9"/>
            <color indexed="81"/>
            <rFont val="Tahoma"/>
            <family val="2"/>
          </rPr>
          <t>SANJAY SUMAN:</t>
        </r>
        <r>
          <rPr>
            <sz val="9"/>
            <color indexed="81"/>
            <rFont val="Tahoma"/>
            <family val="2"/>
          </rPr>
          <t xml:space="preserve">
to be changed for reduced capacity</t>
        </r>
      </text>
    </comment>
  </commentList>
</comments>
</file>

<file path=xl/comments2.xml><?xml version="1.0" encoding="utf-8"?>
<comments xmlns="http://schemas.openxmlformats.org/spreadsheetml/2006/main">
  <authors>
    <author>MANOJ.MISHRA</author>
  </authors>
  <commentList>
    <comment ref="R21" authorId="0" shapeId="0">
      <text>
        <r>
          <rPr>
            <b/>
            <sz val="9"/>
            <color indexed="81"/>
            <rFont val="Tahoma"/>
            <family val="2"/>
          </rPr>
          <t>MANOJ.MISHRA:</t>
        </r>
        <r>
          <rPr>
            <sz val="9"/>
            <color indexed="81"/>
            <rFont val="Tahoma"/>
            <family val="2"/>
          </rPr>
          <t xml:space="preserve">
Erection not considered as it is supply package</t>
        </r>
      </text>
    </comment>
    <comment ref="X21" authorId="0" shapeId="0">
      <text>
        <r>
          <rPr>
            <b/>
            <sz val="9"/>
            <color indexed="81"/>
            <rFont val="Tahoma"/>
            <family val="2"/>
          </rPr>
          <t>MANOJ.MISHRA:</t>
        </r>
        <r>
          <rPr>
            <sz val="9"/>
            <color indexed="81"/>
            <rFont val="Tahoma"/>
            <family val="2"/>
          </rPr>
          <t xml:space="preserve">
Being supply pkg E&amp;C not considered.</t>
        </r>
      </text>
    </comment>
  </commentList>
</comments>
</file>

<file path=xl/comments3.xml><?xml version="1.0" encoding="utf-8"?>
<comments xmlns="http://schemas.openxmlformats.org/spreadsheetml/2006/main">
  <authors>
    <author>RK.JHA1</author>
  </authors>
  <commentList>
    <comment ref="J15" authorId="0" shapeId="0">
      <text>
        <r>
          <rPr>
            <b/>
            <sz val="9"/>
            <color indexed="81"/>
            <rFont val="Tahoma"/>
            <family val="2"/>
          </rPr>
          <t>RK.JHA1:</t>
        </r>
        <r>
          <rPr>
            <sz val="9"/>
            <color indexed="81"/>
            <rFont val="Tahoma"/>
            <family val="2"/>
          </rPr>
          <t xml:space="preserve">
After escalation &amp; tonnage compensation.
</t>
        </r>
      </text>
    </comment>
  </commentList>
</comments>
</file>

<file path=xl/sharedStrings.xml><?xml version="1.0" encoding="utf-8"?>
<sst xmlns="http://schemas.openxmlformats.org/spreadsheetml/2006/main" count="943" uniqueCount="630">
  <si>
    <t xml:space="preserve"> </t>
  </si>
  <si>
    <t>S T E E L   A U T H O R I T Y   OF   I N D I A    L I M I T E D</t>
  </si>
  <si>
    <t>`</t>
  </si>
  <si>
    <t>** DETAILED CAPITAL COST ESTIMATE**</t>
  </si>
  <si>
    <t>Item</t>
  </si>
  <si>
    <t>Total</t>
  </si>
  <si>
    <t>ADOPTED</t>
  </si>
  <si>
    <t>NORMS:</t>
  </si>
  <si>
    <t>IDC</t>
  </si>
  <si>
    <t>**ERECTION COST**:</t>
  </si>
  <si>
    <t>Indg.</t>
  </si>
  <si>
    <t>Imp.</t>
  </si>
  <si>
    <t>EQUIPMENT-HW (IMP+IND)-IN LC</t>
  </si>
  <si>
    <t xml:space="preserve">STRUCTURES-HW (IMP+IND)-IN </t>
  </si>
  <si>
    <t>Years</t>
  </si>
  <si>
    <t>Plant</t>
  </si>
  <si>
    <t>Total fund</t>
  </si>
  <si>
    <t>LC FOR TECH,B/O &amp; SITE FAB</t>
  </si>
  <si>
    <t>cost</t>
  </si>
  <si>
    <t>Loan</t>
  </si>
  <si>
    <t>incl.IDC</t>
  </si>
  <si>
    <t>REFRACTORIES-HW(IMP+IND)-IN</t>
  </si>
  <si>
    <t>LC</t>
  </si>
  <si>
    <t>**ENGG. &amp; CONSTRUCTION**</t>
  </si>
  <si>
    <t>OWNER'S--IN FC</t>
  </si>
  <si>
    <t>FC</t>
  </si>
  <si>
    <t>OWNER'S--IN LC</t>
  </si>
  <si>
    <t>Post Comm.</t>
  </si>
  <si>
    <t>EQUIPMENT</t>
  </si>
  <si>
    <t>CONTRACTORS' IN FC</t>
  </si>
  <si>
    <t>t</t>
  </si>
  <si>
    <t>CONTRACTORS' IN LC</t>
  </si>
  <si>
    <t>**FREIGHT &amp; INSURANCE**</t>
  </si>
  <si>
    <t xml:space="preserve">OCEAN FR &amp; INSURANCE- </t>
  </si>
  <si>
    <t xml:space="preserve">  ON HW FC</t>
  </si>
  <si>
    <t>INLAND FR &amp; INS.-ON IMP HW EQ &amp;</t>
  </si>
  <si>
    <t>SPARES-IN LC</t>
  </si>
  <si>
    <t>INLAND FR &amp; INS.-ON IMP HW STRS &amp;</t>
  </si>
  <si>
    <t>REFRACTORIES-IN LC</t>
  </si>
  <si>
    <t>INLAND FR &amp; INS - ON IND HW EQ</t>
  </si>
  <si>
    <t>&amp; SPARES</t>
  </si>
  <si>
    <t>INLAND FR &amp; INS - ON IND HW STRS</t>
  </si>
  <si>
    <t>&amp; REFRACTORIES</t>
  </si>
  <si>
    <t>**TAXES &amp; DUTIES**</t>
  </si>
  <si>
    <t>Equipment</t>
  </si>
  <si>
    <t>INCOME TAX RATE</t>
  </si>
  <si>
    <t>CONTINGENCIES</t>
  </si>
  <si>
    <t>m</t>
  </si>
  <si>
    <t>TOTAL</t>
  </si>
  <si>
    <t>b</t>
  </si>
  <si>
    <t>c</t>
  </si>
  <si>
    <t>d</t>
  </si>
  <si>
    <t>e</t>
  </si>
  <si>
    <t>f</t>
  </si>
  <si>
    <t>g</t>
  </si>
  <si>
    <t>h</t>
  </si>
  <si>
    <t>j</t>
  </si>
  <si>
    <t>k</t>
  </si>
  <si>
    <t>l</t>
  </si>
  <si>
    <t>n</t>
  </si>
  <si>
    <t>o</t>
  </si>
  <si>
    <t>p</t>
  </si>
  <si>
    <t>q</t>
  </si>
  <si>
    <t>r</t>
  </si>
  <si>
    <t>s</t>
  </si>
  <si>
    <t>u</t>
  </si>
  <si>
    <t>v</t>
  </si>
  <si>
    <t>w</t>
  </si>
  <si>
    <t>x</t>
  </si>
  <si>
    <t>y</t>
  </si>
  <si>
    <t>z</t>
  </si>
  <si>
    <t>CAPITAL COST</t>
  </si>
  <si>
    <t>Spares</t>
  </si>
  <si>
    <t>Structures</t>
  </si>
  <si>
    <t>Refractories</t>
  </si>
  <si>
    <t>Civil Works</t>
  </si>
  <si>
    <t>Taxes &amp; Duties</t>
  </si>
  <si>
    <t>Contingencies</t>
  </si>
  <si>
    <t>Total Plant Cost</t>
  </si>
  <si>
    <t xml:space="preserve">IDC </t>
  </si>
  <si>
    <t>Sl.No</t>
  </si>
  <si>
    <t>B</t>
  </si>
  <si>
    <t>SHOP/FACILITY/PACKAGE</t>
  </si>
  <si>
    <t>SPARES</t>
  </si>
  <si>
    <t>TECHNOLOGICAL STRS.</t>
  </si>
  <si>
    <t xml:space="preserve"> BUILDING STRUCTURES</t>
  </si>
  <si>
    <t>REFRACTORIES</t>
  </si>
  <si>
    <t>CIVIL</t>
  </si>
  <si>
    <t>ERECTION</t>
  </si>
  <si>
    <t>ENGG. &amp; CONSTRN.</t>
  </si>
  <si>
    <t>FRT. &amp; INS.</t>
  </si>
  <si>
    <t xml:space="preserve">IMPORT DUTIES, IT &amp;  CESS              </t>
  </si>
  <si>
    <t>KNOW-HOW</t>
  </si>
  <si>
    <t>TRAINING</t>
  </si>
  <si>
    <t>OTHERS</t>
  </si>
  <si>
    <t>CONTINGENCY</t>
  </si>
  <si>
    <t xml:space="preserve">TOTAL CAPITAL COST </t>
  </si>
  <si>
    <t>Imported</t>
  </si>
  <si>
    <t>Indigenous</t>
  </si>
  <si>
    <t>BOUGHT OUT</t>
  </si>
  <si>
    <t>SITE FAB. .</t>
  </si>
  <si>
    <t>Structure</t>
  </si>
  <si>
    <t>Dismantling</t>
  </si>
  <si>
    <t>Contractor's</t>
  </si>
  <si>
    <t>Owner's</t>
  </si>
  <si>
    <t>Ocean</t>
  </si>
  <si>
    <t>Inland</t>
  </si>
  <si>
    <t>ITax on</t>
  </si>
  <si>
    <t>Others</t>
  </si>
  <si>
    <t>HW</t>
  </si>
  <si>
    <t>SW</t>
  </si>
  <si>
    <t>Ind.</t>
  </si>
  <si>
    <t>FS</t>
  </si>
  <si>
    <t>aa</t>
  </si>
  <si>
    <t>ab</t>
  </si>
  <si>
    <t>ac</t>
  </si>
  <si>
    <t>ae</t>
  </si>
  <si>
    <t>af</t>
  </si>
  <si>
    <t>ag</t>
  </si>
  <si>
    <t>ah</t>
  </si>
  <si>
    <t>al</t>
  </si>
  <si>
    <t>an</t>
  </si>
  <si>
    <t>ao</t>
  </si>
  <si>
    <t>ap</t>
  </si>
  <si>
    <t>aq</t>
  </si>
  <si>
    <t>ar</t>
  </si>
  <si>
    <t>as</t>
  </si>
  <si>
    <t>at</t>
  </si>
  <si>
    <t>au</t>
  </si>
  <si>
    <t>av</t>
  </si>
  <si>
    <t>aw</t>
  </si>
  <si>
    <t>Page-1/3</t>
  </si>
  <si>
    <t>Page-2/3</t>
  </si>
  <si>
    <t>Page-3/3</t>
  </si>
  <si>
    <t>Contingn</t>
  </si>
  <si>
    <t>EXTRA</t>
  </si>
  <si>
    <t>Imp duty</t>
  </si>
  <si>
    <t>(not to be printed)</t>
  </si>
  <si>
    <t>STRUCTURALS</t>
  </si>
  <si>
    <t>ENGG &amp; CONSTN</t>
  </si>
  <si>
    <t>FRT. &amp; INSURANCE</t>
  </si>
  <si>
    <t>DUTIES &amp; TAXES</t>
  </si>
  <si>
    <t>Incl.</t>
  </si>
  <si>
    <t>Cost</t>
  </si>
  <si>
    <t>I</t>
  </si>
  <si>
    <t>Miscellaneous</t>
  </si>
  <si>
    <t>E&amp;C</t>
  </si>
  <si>
    <t>%</t>
  </si>
  <si>
    <t>EXPENDITURE</t>
  </si>
  <si>
    <t>Total Expenditure</t>
  </si>
  <si>
    <t>UNIT</t>
  </si>
  <si>
    <t>kwh</t>
  </si>
  <si>
    <t>Energy Consumption/Annum</t>
  </si>
  <si>
    <t>Energy Cost/Annum</t>
  </si>
  <si>
    <t>Rs Lakh</t>
  </si>
  <si>
    <t>I R R</t>
  </si>
  <si>
    <t>P.I.</t>
  </si>
  <si>
    <t>Ratio</t>
  </si>
  <si>
    <t>2007-08</t>
  </si>
  <si>
    <t>Plant cost</t>
  </si>
  <si>
    <t>a</t>
  </si>
  <si>
    <t>Sl.</t>
  </si>
  <si>
    <t>No.</t>
  </si>
  <si>
    <t>Unit</t>
  </si>
  <si>
    <t>Amount</t>
  </si>
  <si>
    <t>Equity</t>
  </si>
  <si>
    <t>Engg. &amp; Constn</t>
  </si>
  <si>
    <t>Freight &amp; Insurance</t>
  </si>
  <si>
    <t xml:space="preserve">         CAPITAL COST ESTIMATE (SUMMARY)</t>
  </si>
  <si>
    <t xml:space="preserve">  STEEL AUTHORITY OF INDIA  LIMITED</t>
  </si>
  <si>
    <t>**CAPITAL COST ESTIMATE**SUMMARY</t>
  </si>
  <si>
    <t>Capital Cost</t>
  </si>
  <si>
    <t>Annexure-3</t>
  </si>
  <si>
    <t>Figures in Rs. Crore</t>
  </si>
  <si>
    <t>CD</t>
  </si>
  <si>
    <t>i</t>
  </si>
  <si>
    <t>Annexure-6.1.1-2</t>
  </si>
  <si>
    <t>IT</t>
  </si>
  <si>
    <t>Foreign Sup.</t>
  </si>
  <si>
    <t>Design Engg.</t>
  </si>
  <si>
    <t>Foreign Supervision</t>
  </si>
  <si>
    <t>ax</t>
  </si>
  <si>
    <t>ay</t>
  </si>
  <si>
    <t>Qty.</t>
  </si>
  <si>
    <t>Amt. (Rs. L)</t>
  </si>
  <si>
    <t>Item (Brief description)</t>
  </si>
  <si>
    <t xml:space="preserve">CAPITAL COST </t>
  </si>
  <si>
    <t>ANNEXURE  6.1.1-1</t>
  </si>
  <si>
    <t>(For Presentation Purpose Only)</t>
  </si>
  <si>
    <t xml:space="preserve">Amt. (Rs. L) LC </t>
  </si>
  <si>
    <t xml:space="preserve">Amt. (Rs. L) FC </t>
  </si>
  <si>
    <t>IMPORT DUTY (PROJECT ID)</t>
  </si>
  <si>
    <t>Sl.No.</t>
  </si>
  <si>
    <t>DSR code</t>
  </si>
  <si>
    <t>Erec. &amp; Comm.</t>
  </si>
  <si>
    <t>Rate  (FC)</t>
  </si>
  <si>
    <t>lot</t>
  </si>
  <si>
    <t>Unit Rate (LC)- Rs.L</t>
  </si>
  <si>
    <t>Electrics</t>
  </si>
  <si>
    <t>Total Plant &amp; equipt</t>
  </si>
  <si>
    <t>Rs.</t>
  </si>
  <si>
    <t>Rs. L</t>
  </si>
  <si>
    <t>Rate (Rs.)</t>
  </si>
  <si>
    <t>Main Package (Package - II)</t>
  </si>
  <si>
    <t>1 (a)</t>
  </si>
  <si>
    <t>1 (b)</t>
  </si>
  <si>
    <t>1 (c)</t>
  </si>
  <si>
    <t>Total Plant cost</t>
  </si>
  <si>
    <t>1st year</t>
  </si>
  <si>
    <t>10.05.2016</t>
  </si>
  <si>
    <t>Basis / Remarks</t>
  </si>
  <si>
    <t>Annexure - 6.5.1-1</t>
  </si>
  <si>
    <t>Gross Margin Calculation</t>
  </si>
  <si>
    <t>A</t>
  </si>
  <si>
    <t>Remarks</t>
  </si>
  <si>
    <t>Gross Margin</t>
  </si>
  <si>
    <t>Rs. Cr.</t>
  </si>
  <si>
    <t>Interest</t>
  </si>
  <si>
    <t>Production of crude tar / year</t>
  </si>
  <si>
    <t>Normative figure</t>
  </si>
  <si>
    <t>Depreciation</t>
  </si>
  <si>
    <t>Rs.cr.</t>
  </si>
  <si>
    <t>Production of CO Gas/ year</t>
  </si>
  <si>
    <t>Nm3</t>
  </si>
  <si>
    <t>Profit before tax</t>
  </si>
  <si>
    <t xml:space="preserve">Cost of purchased BF coke </t>
  </si>
  <si>
    <t>Rs./t</t>
  </si>
  <si>
    <t>Taken from Cost sheet of BSL for 2013-14 (9 months).</t>
  </si>
  <si>
    <t xml:space="preserve">Cost of production of BF coke (after adding back the credit of CO gas &amp; crude tar) </t>
  </si>
  <si>
    <t xml:space="preserve">Credit for CO gas &amp; crude tar @ Rs 1117.77 &amp; Rs 213.62 per t of BF Coke respectivily added back to works cost of BF coke @ Rs 16469 /t as per Cost Sheet of BSL for 2013-14 (9 months) as credit for the same has been accounted for separately. </t>
  </si>
  <si>
    <t>Corporate tax</t>
  </si>
  <si>
    <t>Credit for crude tar</t>
  </si>
  <si>
    <t>Credit for CO gas</t>
  </si>
  <si>
    <t>Rs./Gcal</t>
  </si>
  <si>
    <t>Rs Cr</t>
  </si>
  <si>
    <t xml:space="preserve"> Credit for crude tar</t>
  </si>
  <si>
    <t>C</t>
  </si>
  <si>
    <t>Annual production cost of BF coke with proposed Battery rebuilding</t>
  </si>
  <si>
    <t>1 (d)</t>
  </si>
  <si>
    <t>Else manday x per diem rate</t>
  </si>
  <si>
    <t>BF Coke production envisaged from proposed Battery/ annum</t>
  </si>
  <si>
    <t>Techno-commercial Parameters</t>
  </si>
  <si>
    <t xml:space="preserve">Cash out flow if proposed project is implemented </t>
  </si>
  <si>
    <t xml:space="preserve">Total cash out flow if proposed project is implemented </t>
  </si>
  <si>
    <t xml:space="preserve">Cash out flow if proposed project is not-implemented </t>
  </si>
  <si>
    <t xml:space="preserve">Total annual expenditure in case of purchase of equivalent external BF coke </t>
  </si>
  <si>
    <t>Gross Margin (Net savings in cash out-flow if proposed project is implemented)</t>
  </si>
  <si>
    <t>Sl. No.</t>
  </si>
  <si>
    <t>Internal</t>
  </si>
  <si>
    <t>External</t>
  </si>
  <si>
    <t>Total fund incl. IDC</t>
  </si>
  <si>
    <t>Resources</t>
  </si>
  <si>
    <t>Borrowing</t>
  </si>
  <si>
    <t>Profitability Projections</t>
  </si>
  <si>
    <t>Item/Year</t>
  </si>
  <si>
    <t>Yr 1</t>
  </si>
  <si>
    <t>Yr 2</t>
  </si>
  <si>
    <t>Yr 3</t>
  </si>
  <si>
    <t>Yr 4</t>
  </si>
  <si>
    <t>Yr 5</t>
  </si>
  <si>
    <t>Yr 6</t>
  </si>
  <si>
    <t>Yr 7</t>
  </si>
  <si>
    <t>Yr 8</t>
  </si>
  <si>
    <t>Yr 9</t>
  </si>
  <si>
    <t>Yr 10</t>
  </si>
  <si>
    <t>Yr 11</t>
  </si>
  <si>
    <t>Yr 12</t>
  </si>
  <si>
    <t>Yr 13</t>
  </si>
  <si>
    <t>Yr 14</t>
  </si>
  <si>
    <t>Yr 15</t>
  </si>
  <si>
    <t>Yr 16</t>
  </si>
  <si>
    <t>Yr 17</t>
  </si>
  <si>
    <t>Yr 18</t>
  </si>
  <si>
    <t>Yr 19</t>
  </si>
  <si>
    <t>Yr 20</t>
  </si>
  <si>
    <t>Yr 21</t>
  </si>
  <si>
    <t>Yr 22</t>
  </si>
  <si>
    <t>Yr 23</t>
  </si>
  <si>
    <t>Capacity Utilisation</t>
  </si>
  <si>
    <t>Profit Before Tax (PBT)</t>
  </si>
  <si>
    <t>Profit After Tax (PAT)</t>
  </si>
  <si>
    <t>Cumulative PAT</t>
  </si>
  <si>
    <t>Cash flow statement</t>
  </si>
  <si>
    <t>A. Cash from operations</t>
  </si>
  <si>
    <t>B. Equity/ Internal accruals</t>
  </si>
  <si>
    <t>(B) Cash out-flow :</t>
  </si>
  <si>
    <t>Capital expenditure</t>
  </si>
  <si>
    <t xml:space="preserve">        Equity/ Internal accruals</t>
  </si>
  <si>
    <t xml:space="preserve">        Loan</t>
  </si>
  <si>
    <t>Interest payment</t>
  </si>
  <si>
    <t>Principal repayment</t>
  </si>
  <si>
    <t>Corporate Income Tax</t>
  </si>
  <si>
    <t xml:space="preserve">Cash surplus </t>
  </si>
  <si>
    <t>Cash surplus (Cummulative)</t>
  </si>
  <si>
    <t>NPV &amp; IRR CALCULATIONS:</t>
  </si>
  <si>
    <t>IRR(Pre-tax)</t>
  </si>
  <si>
    <t>PI</t>
  </si>
  <si>
    <t>Outflow</t>
  </si>
  <si>
    <t>Capital Cost (excl. IDC)</t>
  </si>
  <si>
    <t>Inflow</t>
  </si>
  <si>
    <t>Gross margin</t>
  </si>
  <si>
    <t>Net flow</t>
  </si>
  <si>
    <t>Pre-tax</t>
  </si>
  <si>
    <t>Post Tax</t>
  </si>
  <si>
    <t>D</t>
  </si>
  <si>
    <t>Post-tax</t>
  </si>
  <si>
    <t>E</t>
  </si>
  <si>
    <t>IRR</t>
  </si>
  <si>
    <t>Annexure-6.6.1-1</t>
  </si>
  <si>
    <t xml:space="preserve">Phasing of expenditure </t>
  </si>
  <si>
    <t xml:space="preserve">Start of prod. </t>
  </si>
  <si>
    <t>MM</t>
  </si>
  <si>
    <t>Loan+MM</t>
  </si>
  <si>
    <t>Rs. in crore</t>
  </si>
  <si>
    <t>Calculation of depreciation</t>
  </si>
  <si>
    <t>Rate of depreciation</t>
  </si>
  <si>
    <t>1st.</t>
  </si>
  <si>
    <t>Gross Margin  from operation</t>
  </si>
  <si>
    <t>Year of production</t>
  </si>
  <si>
    <t>1(6months)</t>
  </si>
  <si>
    <t>2nd</t>
  </si>
  <si>
    <t>Interest (LT+WC)</t>
  </si>
  <si>
    <t>Check</t>
  </si>
  <si>
    <t>Gross Block</t>
  </si>
  <si>
    <t>3rd (6 months)</t>
  </si>
  <si>
    <t xml:space="preserve">Depreciation </t>
  </si>
  <si>
    <t>PC</t>
  </si>
  <si>
    <t>Net Block</t>
  </si>
  <si>
    <t xml:space="preserve">Corporate Income Tax exemption </t>
  </si>
  <si>
    <t>95% 0f CC</t>
  </si>
  <si>
    <t>Net Block Cost</t>
  </si>
  <si>
    <t>Rs cr</t>
  </si>
  <si>
    <t>Capital cost</t>
  </si>
  <si>
    <t>Start of prod.</t>
  </si>
  <si>
    <t>Working Capital</t>
  </si>
  <si>
    <t>Margin Money</t>
  </si>
  <si>
    <t>Cash-Inflows :</t>
  </si>
  <si>
    <t xml:space="preserve">Loan </t>
  </si>
  <si>
    <t>Term loan</t>
  </si>
  <si>
    <t xml:space="preserve">Long term loan </t>
  </si>
  <si>
    <t>WC loan</t>
  </si>
  <si>
    <t>NPV(Pre)</t>
  </si>
  <si>
    <t>NPV(Post)</t>
  </si>
  <si>
    <t>IRR(Post-tax)</t>
  </si>
  <si>
    <t>Net</t>
  </si>
  <si>
    <t>Corporate Tax</t>
  </si>
  <si>
    <t xml:space="preserve">                      FINANCIAL ANALYSIS</t>
  </si>
  <si>
    <t>Rs.Cr.</t>
  </si>
  <si>
    <t>Gross Margin per annum</t>
  </si>
  <si>
    <t>I R R (Post Tax)</t>
  </si>
  <si>
    <t>Sensitivity Analysis</t>
  </si>
  <si>
    <t>Capital cost increased by 10%</t>
  </si>
  <si>
    <t>GM decreased by 10%</t>
  </si>
  <si>
    <t>Combined effect of above</t>
  </si>
  <si>
    <t xml:space="preserve">             STEEL AUTHORITY OF INDIA  LIMITED</t>
  </si>
  <si>
    <t>(@10%)</t>
  </si>
  <si>
    <t>1USD=Rs.(with forward premium rate)</t>
  </si>
  <si>
    <t>1EURO=Rs.(with forward premium rate)</t>
  </si>
  <si>
    <t>RATES &amp; DUTIES</t>
  </si>
  <si>
    <t>-</t>
  </si>
  <si>
    <t>FE PARITY:</t>
  </si>
  <si>
    <t>1 US $= Rs.</t>
  </si>
  <si>
    <t>1 Euro= Rs.</t>
  </si>
  <si>
    <t>1 UK POUND=</t>
  </si>
  <si>
    <t>1 JAP Y=</t>
  </si>
  <si>
    <t>FP rate</t>
  </si>
  <si>
    <t>FE parity with FP rate</t>
  </si>
  <si>
    <t>Date</t>
  </si>
  <si>
    <t>GST</t>
  </si>
  <si>
    <t>Imp. Supply</t>
  </si>
  <si>
    <t>Ind. Supply</t>
  </si>
  <si>
    <t>INDIGENOUS DUTY &amp; TAXES</t>
  </si>
  <si>
    <t>Input tax credit (ITC)</t>
  </si>
  <si>
    <t>Capital Cost net of ITC</t>
  </si>
  <si>
    <t>Imp. Services</t>
  </si>
  <si>
    <t>Ind. Services</t>
  </si>
  <si>
    <t>GST (Imp. Supply)</t>
  </si>
  <si>
    <t>GST (Ind. Supply)</t>
  </si>
  <si>
    <t>GST (Imp. Services)</t>
  </si>
  <si>
    <t>GST (Ind. Services)</t>
  </si>
  <si>
    <t>GST (Freight)</t>
  </si>
  <si>
    <t>Equipment Foundation</t>
  </si>
  <si>
    <t xml:space="preserve">Total net of ITC </t>
  </si>
  <si>
    <t>GST (freight)</t>
  </si>
  <si>
    <t>GST (Supply &amp; services)</t>
  </si>
  <si>
    <t>Social Welfare surcharge</t>
  </si>
  <si>
    <t>Cess on I.Tax / Corp tax</t>
  </si>
  <si>
    <t>NPV @ 10%  (Post tax)</t>
  </si>
  <si>
    <t>NPV (@ 10%), Rs Cr</t>
  </si>
  <si>
    <t xml:space="preserve">ITC </t>
  </si>
  <si>
    <t xml:space="preserve">Capital Cost net of ITC </t>
  </si>
  <si>
    <t>@10%</t>
  </si>
  <si>
    <t>ITC</t>
  </si>
  <si>
    <t>CC net of ITC</t>
  </si>
  <si>
    <t>Process control &amp; automation</t>
  </si>
  <si>
    <t>Total area survey &amp; soil investigation</t>
  </si>
  <si>
    <t xml:space="preserve">Utility </t>
  </si>
  <si>
    <t>Sub-total Electrics</t>
  </si>
  <si>
    <t>Technological Structure</t>
  </si>
  <si>
    <t>Total  civil (Equipment foundation)</t>
  </si>
  <si>
    <t>CIVIL (others)</t>
  </si>
  <si>
    <t>Total  civil (others)</t>
  </si>
  <si>
    <t>ASSIGN. NO.- 03/DE/4765</t>
  </si>
  <si>
    <t>IISCO STEEL PLANT</t>
  </si>
  <si>
    <t>INSTALLATION OF FLARE STACK FOR COB-10, ISP</t>
  </si>
  <si>
    <t>New Coke oven Gas Flare Stack including Ignition system with Blower, Burner etc. (Capacity= 25000 Nm3/h @ 400-500 mmWC)</t>
  </si>
  <si>
    <t>SET</t>
  </si>
  <si>
    <t>BQ M/s Ador Welding vide mail dated 08-07-2020 excluding civil works, Piping, Electrics &amp; automation beyond FFG panel</t>
  </si>
  <si>
    <t>Supply of Ignition System with Blower, Burner &amp; Associated Piping</t>
  </si>
  <si>
    <t>BQ M/s P &amp; Sen vide mail dated 08.07.2019. BQ normalized for Erection by 1.12</t>
  </si>
  <si>
    <t>Other than Stack Proper (like Compressor, Air Drier, Receiver, Valves, portable fire extinguishers etc.)</t>
  </si>
  <si>
    <t>Engineering Estimate based on BQ</t>
  </si>
  <si>
    <t>Electrical equipment including tapping of power from outgoing terminals of LT panel TS-4  1, PMCC panel, illumination ,control desk, UPS, earthing etc.</t>
  </si>
  <si>
    <t xml:space="preserve">Cables: HT, LT  XLPE insulated FRLS power &amp; control cables </t>
  </si>
  <si>
    <t>Lot</t>
  </si>
  <si>
    <t>Based majorly on purchase orders of individual eqipment from cost data base.</t>
  </si>
  <si>
    <t>Purchase orders from Cost data base</t>
  </si>
  <si>
    <t>Level-0 Automation System consisting of sensors, transmitters, flow element, control valves,  CO gas detectors, etc.</t>
  </si>
  <si>
    <t xml:space="preserve">PO=40%,
BQ=27%, 
Engineering Estimate=33%
</t>
  </si>
  <si>
    <t>Addition/modification in programme of existing PLC system, new PC based HMI, Alarm annunciator and furniture.</t>
  </si>
  <si>
    <t>Engineering Estimate=100%</t>
  </si>
  <si>
    <t>Cables with cabling accessories and hardware</t>
  </si>
  <si>
    <t xml:space="preserve">PO=67%,
Engineering Estimate=33%
</t>
  </si>
  <si>
    <t>Sub total (PC&amp;A)</t>
  </si>
  <si>
    <t>SUBTOTAL UTILITY</t>
  </si>
  <si>
    <t>ERW pipes for new Coke oven Gas Flare Stack</t>
  </si>
  <si>
    <t>ton</t>
  </si>
  <si>
    <t>Supply, fabrication &amp; painting of technological structure other than Stack proper</t>
  </si>
  <si>
    <t xml:space="preserve">Total  Technological structures </t>
  </si>
  <si>
    <t>Excavation</t>
  </si>
  <si>
    <t>m3</t>
  </si>
  <si>
    <t>PCC</t>
  </si>
  <si>
    <t>RCC M25</t>
  </si>
  <si>
    <t>R/f</t>
  </si>
  <si>
    <t>MT</t>
  </si>
  <si>
    <t>Brickwork</t>
  </si>
  <si>
    <t>20mm thk.</t>
  </si>
  <si>
    <t>m2</t>
  </si>
  <si>
    <t>15mm thk.</t>
  </si>
  <si>
    <t>6mm thk.</t>
  </si>
  <si>
    <t>Weatherproof paint</t>
  </si>
  <si>
    <t>whitewashing</t>
  </si>
  <si>
    <t>Bolder soling</t>
  </si>
  <si>
    <t>IPS flooring</t>
  </si>
  <si>
    <t>Al Doors</t>
  </si>
  <si>
    <t>Al Windows</t>
  </si>
  <si>
    <t>APP</t>
  </si>
  <si>
    <t>DPC</t>
  </si>
  <si>
    <t>Plinth Protection</t>
  </si>
  <si>
    <t>Precast concrete</t>
  </si>
  <si>
    <t>Barbed wire fencing</t>
  </si>
  <si>
    <t>Rm</t>
  </si>
  <si>
    <t>Steel Gate</t>
  </si>
  <si>
    <t>Mt</t>
  </si>
  <si>
    <t>DSR code 2018 Clause</t>
  </si>
  <si>
    <t>2.8.1+0.8*2.25+0.2*1.1.2 (COL 8)</t>
  </si>
  <si>
    <t>4.20.1.2</t>
  </si>
  <si>
    <t>5.33.2+ 5 * 5.9.5</t>
  </si>
  <si>
    <t>5.22A.6*1000</t>
  </si>
  <si>
    <t>6.32.1</t>
  </si>
  <si>
    <t>13.3.1</t>
  </si>
  <si>
    <t>13.2.1</t>
  </si>
  <si>
    <t>13.16.1</t>
  </si>
  <si>
    <t>13.46.1</t>
  </si>
  <si>
    <t>13.37.1</t>
  </si>
  <si>
    <t>7753+16.4</t>
  </si>
  <si>
    <t>11.3.1</t>
  </si>
  <si>
    <t>21.1.1.2*15 + 21.3.2</t>
  </si>
  <si>
    <t>14.90</t>
  </si>
  <si>
    <t>4.10</t>
  </si>
  <si>
    <t>4.17</t>
  </si>
  <si>
    <t>5.12</t>
  </si>
  <si>
    <t>16.53</t>
  </si>
  <si>
    <t>Rate same as strl supply and erection</t>
  </si>
  <si>
    <t>M30 D grout</t>
  </si>
  <si>
    <t>Inserts</t>
  </si>
  <si>
    <t>600 DIA piles EXCULDING R/F</t>
  </si>
  <si>
    <t>RM</t>
  </si>
  <si>
    <t>5.33.1+5.34.1+5*5.9.2</t>
  </si>
  <si>
    <t>20.2A.1</t>
  </si>
  <si>
    <t>Soil investigation &amp; Underground Mapping</t>
  </si>
  <si>
    <t>Pkg. 1(A)- SIS</t>
  </si>
  <si>
    <t>LS</t>
  </si>
  <si>
    <t>Pkg. 1(B)-Underground Mapping</t>
  </si>
  <si>
    <t>PHASING OF EXPENDITURE &amp; IDC (14 months from Stg.-2 approval)</t>
  </si>
  <si>
    <t>2nd  year ( 2months)</t>
  </si>
  <si>
    <t xml:space="preserve">3rd year </t>
  </si>
  <si>
    <t xml:space="preserve">Record notes of meeting of the Cost Review Committee </t>
  </si>
  <si>
    <t>1. Name of the Project</t>
  </si>
  <si>
    <t xml:space="preserve">2. Subject </t>
  </si>
  <si>
    <t xml:space="preserve">: Capital Cost Estimate </t>
  </si>
  <si>
    <t>3. Assignment No.</t>
  </si>
  <si>
    <t>4. Date of cost review</t>
  </si>
  <si>
    <t>: 26.10.2020</t>
  </si>
  <si>
    <t>5. Proceedings of meeting:</t>
  </si>
  <si>
    <r>
      <t xml:space="preserve"> i. </t>
    </r>
    <r>
      <rPr>
        <b/>
        <u/>
        <sz val="16"/>
        <color indexed="8"/>
        <rFont val="Times New Roman"/>
        <family val="1"/>
      </rPr>
      <t>Basis for equipment only</t>
    </r>
  </si>
  <si>
    <t>1EURO=</t>
  </si>
  <si>
    <t>1 USD=</t>
  </si>
  <si>
    <t>(Forward Premium Rates)</t>
  </si>
  <si>
    <t>Name of the Supplier/Contractor</t>
  </si>
  <si>
    <t>Scope of supply</t>
  </si>
  <si>
    <t>Imported Supply</t>
  </si>
  <si>
    <t>Indigenous Supply</t>
  </si>
  <si>
    <t>Engg. estimate for additional scope of supply other than BQ/ PO.</t>
  </si>
  <si>
    <t xml:space="preserve">Total cost </t>
  </si>
  <si>
    <t>Total cost considered (Rs in Crore): Engg. Est.</t>
  </si>
  <si>
    <t>Quoted Price</t>
  </si>
  <si>
    <t>Normalised value (Adjusted for Cap., Escl. and excl. D&amp;E, erection, supv. etc. if any )</t>
  </si>
  <si>
    <t>Factor for location</t>
  </si>
  <si>
    <t>Price trend considered (Knocked off by)</t>
  </si>
  <si>
    <t>Normalised value (Adjusted for Cap., Escal. and excl. any scope like D&amp;E, erection, Civil, Strl. etc. if any)</t>
  </si>
  <si>
    <t>FC (in FE)</t>
  </si>
  <si>
    <t>FC (Equi. Rs. In Crore)</t>
  </si>
  <si>
    <t>FC (Equi. In Crore)</t>
  </si>
  <si>
    <t>LC (Rs. in Crore)</t>
  </si>
  <si>
    <t>FC         (Equiv. in  Rs. Cr.)</t>
  </si>
  <si>
    <t>LC (Rs. Cr.)</t>
  </si>
  <si>
    <t>FC            (Equiv. Rs. Cr)</t>
  </si>
  <si>
    <t xml:space="preserve">1) Details of BQs &amp; POs considered </t>
  </si>
  <si>
    <t xml:space="preserve">b </t>
  </si>
  <si>
    <t>(Rs. in Crore.)</t>
  </si>
  <si>
    <t xml:space="preserve">     ii) </t>
  </si>
  <si>
    <t>Estimate considered for the Equipment=</t>
  </si>
  <si>
    <t>During Stage-I:</t>
  </si>
  <si>
    <t>NA</t>
  </si>
  <si>
    <t xml:space="preserve">     iii)</t>
  </si>
  <si>
    <t>Reasons for selecting above cost:</t>
  </si>
  <si>
    <t>a) TFL confirmed that scope of work of the BQ considered is similar to the corresponding items envisaged in proposed project.</t>
  </si>
  <si>
    <t xml:space="preserve">     iv)</t>
  </si>
  <si>
    <t>Complete scope:</t>
  </si>
  <si>
    <t>Description</t>
  </si>
  <si>
    <t xml:space="preserve">Basic Cost </t>
  </si>
  <si>
    <t>Factor for location/ Area of difficulty</t>
  </si>
  <si>
    <t>FC (Eq Rs. in Crore)</t>
  </si>
  <si>
    <t>LC (Rs. In crore)</t>
  </si>
  <si>
    <t xml:space="preserve">Equipment </t>
  </si>
  <si>
    <t>brought from the above</t>
  </si>
  <si>
    <t>Civil</t>
  </si>
  <si>
    <t>Structural</t>
  </si>
  <si>
    <t>Erection and Commissioning</t>
  </si>
  <si>
    <t>Normative</t>
  </si>
  <si>
    <t>Engineering &amp; Construction</t>
  </si>
  <si>
    <t>Taxes &amp; Duties incl. Frt</t>
  </si>
  <si>
    <t>Foreign Training</t>
  </si>
  <si>
    <t>Contingency</t>
  </si>
  <si>
    <t>@5%</t>
  </si>
  <si>
    <t>Other (IDC)</t>
  </si>
  <si>
    <r>
      <rPr>
        <b/>
        <sz val="16"/>
        <rFont val="Times New Roman"/>
        <family val="1"/>
      </rPr>
      <t>v. </t>
    </r>
    <r>
      <rPr>
        <sz val="16"/>
        <rFont val="Times New Roman"/>
        <family val="1"/>
      </rPr>
      <t xml:space="preserve">       TFL confirmed that the BQ considered for preparing capital cost is for the total scope of work for the subject project. </t>
    </r>
  </si>
  <si>
    <r>
      <t xml:space="preserve">vii.        </t>
    </r>
    <r>
      <rPr>
        <b/>
        <u/>
        <sz val="16"/>
        <color indexed="8"/>
        <rFont val="Times New Roman"/>
        <family val="1"/>
      </rPr>
      <t>Capital cost estimate:</t>
    </r>
  </si>
  <si>
    <t>Based on the above considerations, capital cost estimate net of ITC for the subject project =</t>
  </si>
  <si>
    <t>The committee deliberated on the above issues and found the same in order.</t>
  </si>
  <si>
    <t>6. Following officials were present:</t>
  </si>
  <si>
    <t>Name</t>
  </si>
  <si>
    <t>Designation</t>
  </si>
  <si>
    <t>Signature</t>
  </si>
  <si>
    <t>Mr. H K Mohanta</t>
  </si>
  <si>
    <t xml:space="preserve">CGM (Proj.) </t>
  </si>
  <si>
    <t>ii</t>
  </si>
  <si>
    <t xml:space="preserve">Mr. A Kumar </t>
  </si>
  <si>
    <t>CGM (Engg-2)</t>
  </si>
  <si>
    <t>iv</t>
  </si>
  <si>
    <t>Mr. N Sinha</t>
  </si>
  <si>
    <t>GM (PC &amp; A)</t>
  </si>
  <si>
    <t>Mr. J  Saluja</t>
  </si>
  <si>
    <t>GM  &amp; I/C (CTE)</t>
  </si>
  <si>
    <t>vi</t>
  </si>
  <si>
    <t>vii</t>
  </si>
  <si>
    <t>viii</t>
  </si>
  <si>
    <t>Mr. R K Jha</t>
  </si>
  <si>
    <t>DGM (CTE)</t>
  </si>
  <si>
    <t>Installation of Flare stack for COB-10, ISP.</t>
  </si>
  <si>
    <t>:03/DE/4765</t>
  </si>
  <si>
    <t>PO from Cost data base</t>
  </si>
  <si>
    <t>Electrical  equipment including tapping of power from outgoing terminals of LT panels TS-4 1, PMCC paneel, illumination, control desk, UPS, earthing; Cable- HT, LT XLPE insulated FRLS power &amp; control cables, etc.</t>
  </si>
  <si>
    <t>PO=40%, BQ=27%, Engg. Estimate=33%</t>
  </si>
  <si>
    <t>Level0, Automation System consistingof sensors, transmitters, flow element, control valves, CO gas detectors, etc.</t>
  </si>
  <si>
    <t>Cables with cabling accessories and hardware.</t>
  </si>
  <si>
    <t>PO=67%, Engg. Estimate=33%</t>
  </si>
  <si>
    <t>Addition/modification in programme of existing PLC system, new PC based HMI, Alarm annuciator, etc.</t>
  </si>
  <si>
    <t>Engineering Estimate based on BQ for Utility works</t>
  </si>
  <si>
    <t>b)In the Cost Committee Meeting, it was decided to knock down the Equipment Cost by 25% as the height of the Flare stack is 45m and the reference of the equipment cost   taken is for 60 m similar Flare Stack at DSP (04/DE/4730).</t>
  </si>
  <si>
    <t xml:space="preserve">c) In the Cost Committee Meting, it was decided to knock down the  basic cost of Civil works by 20% and technological structures by 5%.  </t>
  </si>
  <si>
    <t>Mr S Suman</t>
  </si>
  <si>
    <t>GM (U &amp;S)</t>
  </si>
  <si>
    <t>Mr. T K Mishra</t>
  </si>
  <si>
    <t>GM &amp; I/C (U &amp;S)</t>
  </si>
  <si>
    <t>DGM ( U &amp; S)</t>
  </si>
  <si>
    <t>Mr. R Naval Kishore</t>
  </si>
  <si>
    <t>Mr. B R Meena</t>
  </si>
  <si>
    <r>
      <rPr>
        <b/>
        <sz val="16"/>
        <rFont val="Times New Roman"/>
        <family val="1"/>
      </rPr>
      <t>vi. </t>
    </r>
    <r>
      <rPr>
        <sz val="16"/>
        <rFont val="Times New Roman"/>
        <family val="1"/>
      </rPr>
      <t>       Implementation schedule :14 months</t>
    </r>
  </si>
  <si>
    <t>2.5% for owner, @ 5%  for contractor (2000 Engg.hours considered)</t>
  </si>
  <si>
    <t>Engg. Estimate for PC &amp; A works.(other than BQs/POs)</t>
  </si>
  <si>
    <t>Dy. Manager  (U &amp; S)</t>
  </si>
  <si>
    <t>Base date: 4th Qtr 2020</t>
  </si>
  <si>
    <t>BQ M/s Ador Welding vide mail dated 08-07-2020 excluding civil works, Piping, Electrics &amp; automation beyond FFG panel (modified from BOQ due to reduced capacity)</t>
  </si>
  <si>
    <t>STEEL AUTHORITY OF INDIA LIMITED</t>
  </si>
  <si>
    <t>Description of Item</t>
  </si>
  <si>
    <t xml:space="preserve">Design &amp; Engineering </t>
  </si>
  <si>
    <t>Supply of Plant &amp; Equipment Incl. Technological Structures</t>
  </si>
  <si>
    <t xml:space="preserve">Supply of Building steel structures including Sheeting and Glazing </t>
  </si>
  <si>
    <t>Supply of Refractories</t>
  </si>
  <si>
    <t>Civil Engineering Work including all related supplies- for equipment foundation</t>
  </si>
  <si>
    <t xml:space="preserve">Civil Engineering Work including all related supplies- Others </t>
  </si>
  <si>
    <t xml:space="preserve">Storage, Handling, Erection of Plant &amp; Equipments &amp; Refractories including Commisioning and PG tests of the facilities </t>
  </si>
  <si>
    <t>Storage, Handling and Erection of Building Steel Structures</t>
  </si>
  <si>
    <t>Training charges:                                                                    (a) For ___________ Foreign mandays,                                                   (b) For ___________Indian mandays</t>
  </si>
  <si>
    <t xml:space="preserve">Customs, Port clearance (excluding duties &amp; cess to be paid by Employer) and Inland transportation (for all items quoted in foreign currency) </t>
  </si>
  <si>
    <t>Comprehensive  / Transit Storage-cum-erection insurance</t>
  </si>
  <si>
    <t>Supply of 2 years O &amp; M spares</t>
  </si>
  <si>
    <t>Sub-total (1 to 13)</t>
  </si>
  <si>
    <t>Input tax credit (ITC) for GST</t>
  </si>
  <si>
    <t>Annexure-I</t>
  </si>
  <si>
    <t xml:space="preserve">Price Bid Evaluation </t>
  </si>
  <si>
    <t>Comparative statement w.r.t. estimate</t>
  </si>
  <si>
    <t>(Rs. Cr.)</t>
  </si>
  <si>
    <t>Estimate</t>
  </si>
  <si>
    <t>Total contract price net of ITC for GST (14-15)</t>
  </si>
  <si>
    <t>Variance w.r.t. estimate</t>
  </si>
  <si>
    <t>Ranking</t>
  </si>
  <si>
    <t>L1</t>
  </si>
  <si>
    <t>This is a computer generated document and it does not require signature.</t>
  </si>
  <si>
    <t>M/s ADOR WELDING LIMITED-INDIA</t>
  </si>
  <si>
    <t>M/s EDIFICE ENGINEERING ENTERPRISE PVT LTD-DURGAPUR</t>
  </si>
  <si>
    <t>L-2</t>
  </si>
  <si>
    <t>Ref. No.: CET-17(4)/4765/51</t>
  </si>
  <si>
    <t>Date: 14.03.2024</t>
  </si>
  <si>
    <t>Installation of Flare Stack for COB-10 at ISP</t>
  </si>
  <si>
    <t>Original Price</t>
  </si>
  <si>
    <t>Negotiated Price</t>
  </si>
  <si>
    <t>Foreign Supervision charges in India during erection, startup, commissioning and PG test for _____mandays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</si>
</sst>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171" formatCode="_(* #,##0.00_);_(* \(#,##0.00\);_(* &quot;-&quot;??_);_(@_)"/>
    <numFmt numFmtId="172" formatCode="0.00_)"/>
    <numFmt numFmtId="173" formatCode="0_)"/>
    <numFmt numFmtId="174" formatCode="0.0%"/>
    <numFmt numFmtId="175" formatCode="0.000_)"/>
    <numFmt numFmtId="176" formatCode="0.0_)"/>
    <numFmt numFmtId="177" formatCode="0.0000_)"/>
    <numFmt numFmtId="178" formatCode="&quot;Rs&quot;#,##0.00_);[Red]\(&quot;Rs&quot;#,##0.00\)"/>
    <numFmt numFmtId="179" formatCode="_(* #,##0_);_(* \(#,##0\);_(* &quot;-&quot;??_);_(@_)"/>
    <numFmt numFmtId="180" formatCode="[$INR]\ #,##0.00_);[Red]\([$INR]\ #,##0.00\)"/>
    <numFmt numFmtId="181" formatCode="0.00000_)"/>
    <numFmt numFmtId="182" formatCode="0.0000000_)"/>
    <numFmt numFmtId="183" formatCode="0.0"/>
    <numFmt numFmtId="184" formatCode="0.00000000000"/>
    <numFmt numFmtId="185" formatCode="[$INR]\ #,##0.00;[Red][$INR]\ #,##0.00"/>
    <numFmt numFmtId="186" formatCode="&quot;₹&quot;\ #,##0.00;[Red]&quot;₹&quot;\ #,##0.00"/>
    <numFmt numFmtId="187" formatCode="[$$-409]#,##0"/>
    <numFmt numFmtId="188" formatCode="[$€-2]\ #,##0"/>
    <numFmt numFmtId="189" formatCode="_(* #,##0.0000_);_(* \(#,##0.0000\);_(* &quot;-&quot;????_);_(@_)"/>
    <numFmt numFmtId="190" formatCode="0.0000%"/>
    <numFmt numFmtId="191" formatCode="&quot;₹&quot;\ #,##0.00"/>
    <numFmt numFmtId="192" formatCode="0.00000"/>
    <numFmt numFmtId="198" formatCode="_-* #,##0_-;\-* #,##0_-;_-* &quot;-&quot;??_-;_-@_-"/>
    <numFmt numFmtId="199" formatCode="0.000000_)"/>
    <numFmt numFmtId="202" formatCode="0.000000000_)"/>
  </numFmts>
  <fonts count="75">
    <font>
      <sz val="12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2"/>
      <color indexed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sz val="18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Courier"/>
      <family val="3"/>
    </font>
    <font>
      <b/>
      <sz val="10"/>
      <name val="Arial"/>
      <family val="2"/>
    </font>
    <font>
      <vertAlign val="superscript"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Arial"/>
      <family val="2"/>
    </font>
    <font>
      <sz val="11"/>
      <name val="Arial"/>
      <family val="2"/>
    </font>
    <font>
      <sz val="12"/>
      <color indexed="8"/>
      <name val="Arial"/>
      <family val="2"/>
    </font>
    <font>
      <b/>
      <sz val="16"/>
      <name val="Arial"/>
      <family val="2"/>
    </font>
    <font>
      <b/>
      <i/>
      <sz val="12"/>
      <name val="Arial"/>
      <family val="2"/>
    </font>
    <font>
      <b/>
      <sz val="12"/>
      <color indexed="8"/>
      <name val="Arial"/>
      <family val="2"/>
    </font>
    <font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14"/>
      <color indexed="8"/>
      <name val="Arial"/>
      <family val="2"/>
    </font>
    <font>
      <sz val="16"/>
      <name val="Arial"/>
      <family val="2"/>
    </font>
    <font>
      <sz val="10"/>
      <name val="Segoe UI"/>
      <family val="2"/>
    </font>
    <font>
      <sz val="9"/>
      <name val="Arial"/>
      <family val="2"/>
    </font>
    <font>
      <sz val="11"/>
      <name val="Calibri"/>
      <family val="2"/>
    </font>
    <font>
      <sz val="12"/>
      <name val="Times New Roman"/>
      <family val="1"/>
    </font>
    <font>
      <sz val="12"/>
      <name val="Segoe UI"/>
      <family val="2"/>
    </font>
    <font>
      <sz val="12"/>
      <name val="Segoi"/>
    </font>
    <font>
      <b/>
      <sz val="10"/>
      <name val="Segoi"/>
    </font>
    <font>
      <b/>
      <sz val="14"/>
      <name val="Segoi"/>
    </font>
    <font>
      <b/>
      <u/>
      <sz val="16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b/>
      <u/>
      <sz val="16"/>
      <color indexed="8"/>
      <name val="Times New Roman"/>
      <family val="1"/>
    </font>
    <font>
      <b/>
      <sz val="12"/>
      <name val="Times New Roman"/>
      <family val="1"/>
    </font>
    <font>
      <b/>
      <sz val="10"/>
      <name val="Segoe UI"/>
      <family val="2"/>
    </font>
    <font>
      <b/>
      <sz val="14"/>
      <name val="Segoe UI"/>
      <family val="2"/>
    </font>
    <font>
      <b/>
      <sz val="12"/>
      <name val="Segoe UI"/>
      <family val="2"/>
    </font>
    <font>
      <b/>
      <sz val="11.5"/>
      <name val="Segoe UI"/>
      <family val="2"/>
    </font>
    <font>
      <b/>
      <i/>
      <sz val="11"/>
      <name val="Segoe UI"/>
      <family val="2"/>
    </font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theme="1"/>
      <name val="Times New Roman"/>
      <family val="1"/>
    </font>
    <font>
      <sz val="9"/>
      <color rgb="FFFF000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Arial"/>
      <family val="2"/>
    </font>
    <font>
      <sz val="12"/>
      <color theme="1"/>
      <name val="Segoe UI"/>
      <family val="2"/>
    </font>
    <font>
      <b/>
      <sz val="16"/>
      <color rgb="FF000000"/>
      <name val="Times New Roman"/>
      <family val="1"/>
    </font>
    <font>
      <sz val="16"/>
      <color theme="0" tint="-4.9989318521683403E-2"/>
      <name val="Times New Roman"/>
      <family val="1"/>
    </font>
    <font>
      <b/>
      <sz val="12"/>
      <color rgb="FF000000"/>
      <name val="Times New Roman"/>
      <family val="1"/>
    </font>
    <font>
      <sz val="16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FF0000"/>
      <name val="Times New Roman"/>
      <family val="1"/>
    </font>
    <font>
      <b/>
      <u/>
      <sz val="16"/>
      <color rgb="FF00000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9">
    <xf numFmtId="172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12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3" borderId="0" applyNumberFormat="0" applyBorder="0" applyAlignment="0" applyProtection="0"/>
    <xf numFmtId="0" fontId="13" fillId="15" borderId="0" applyNumberFormat="0" applyBorder="0" applyAlignment="0" applyProtection="0"/>
    <xf numFmtId="0" fontId="25" fillId="16" borderId="1" applyNumberFormat="0" applyAlignment="0" applyProtection="0"/>
    <xf numFmtId="0" fontId="14" fillId="17" borderId="2" applyNumberFormat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4" fillId="0" borderId="6" applyNumberFormat="0" applyFill="0" applyAlignment="0" applyProtection="0"/>
    <xf numFmtId="0" fontId="26" fillId="7" borderId="0" applyNumberFormat="0" applyBorder="0" applyAlignment="0" applyProtection="0"/>
    <xf numFmtId="0" fontId="60" fillId="0" borderId="0"/>
    <xf numFmtId="0" fontId="2" fillId="0" borderId="0"/>
    <xf numFmtId="0" fontId="2" fillId="0" borderId="0"/>
    <xf numFmtId="0" fontId="60" fillId="0" borderId="0"/>
    <xf numFmtId="0" fontId="60" fillId="0" borderId="0"/>
    <xf numFmtId="181" fontId="6" fillId="0" borderId="0"/>
    <xf numFmtId="0" fontId="60" fillId="0" borderId="0"/>
    <xf numFmtId="172" fontId="6" fillId="0" borderId="0"/>
    <xf numFmtId="189" fontId="6" fillId="0" borderId="0"/>
    <xf numFmtId="174" fontId="27" fillId="0" borderId="0"/>
    <xf numFmtId="184" fontId="27" fillId="0" borderId="0"/>
    <xf numFmtId="172" fontId="6" fillId="0" borderId="0"/>
    <xf numFmtId="178" fontId="6" fillId="0" borderId="0"/>
    <xf numFmtId="198" fontId="6" fillId="0" borderId="0"/>
    <xf numFmtId="0" fontId="2" fillId="5" borderId="7" applyNumberFormat="0" applyFont="0" applyAlignment="0" applyProtection="0"/>
    <xf numFmtId="0" fontId="21" fillId="16" borderId="8" applyNumberFormat="0" applyAlignment="0" applyProtection="0"/>
    <xf numFmtId="9" fontId="2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872">
    <xf numFmtId="172" fontId="0" fillId="0" borderId="0" xfId="0"/>
    <xf numFmtId="172" fontId="6" fillId="0" borderId="0" xfId="0" applyFont="1" applyAlignment="1">
      <alignment vertical="top" wrapText="1"/>
    </xf>
    <xf numFmtId="173" fontId="6" fillId="0" borderId="0" xfId="0" applyNumberFormat="1" applyFont="1" applyAlignment="1">
      <alignment vertical="top" wrapText="1"/>
    </xf>
    <xf numFmtId="172" fontId="6" fillId="0" borderId="10" xfId="0" applyFont="1" applyBorder="1" applyAlignment="1">
      <alignment vertical="center"/>
    </xf>
    <xf numFmtId="172" fontId="6" fillId="0" borderId="10" xfId="0" applyNumberFormat="1" applyFont="1" applyBorder="1" applyAlignment="1" applyProtection="1">
      <alignment vertical="center"/>
    </xf>
    <xf numFmtId="172" fontId="4" fillId="0" borderId="10" xfId="0" applyFont="1" applyBorder="1" applyAlignment="1">
      <alignment vertical="center"/>
    </xf>
    <xf numFmtId="172" fontId="7" fillId="0" borderId="10" xfId="0" applyFont="1" applyBorder="1" applyAlignment="1">
      <alignment vertical="center"/>
    </xf>
    <xf numFmtId="172" fontId="0" fillId="0" borderId="10" xfId="0" applyBorder="1" applyAlignment="1">
      <alignment vertical="center"/>
    </xf>
    <xf numFmtId="175" fontId="6" fillId="0" borderId="10" xfId="0" applyNumberFormat="1" applyFont="1" applyBorder="1" applyAlignment="1">
      <alignment vertical="center"/>
    </xf>
    <xf numFmtId="9" fontId="6" fillId="0" borderId="10" xfId="0" applyNumberFormat="1" applyFont="1" applyBorder="1" applyAlignment="1" applyProtection="1">
      <alignment vertical="center"/>
    </xf>
    <xf numFmtId="172" fontId="5" fillId="0" borderId="10" xfId="0" applyNumberFormat="1" applyFont="1" applyBorder="1" applyAlignment="1" applyProtection="1">
      <alignment vertical="center"/>
    </xf>
    <xf numFmtId="9" fontId="6" fillId="0" borderId="10" xfId="55" applyNumberFormat="1" applyFont="1" applyBorder="1" applyAlignment="1" applyProtection="1">
      <alignment vertical="center"/>
    </xf>
    <xf numFmtId="0" fontId="4" fillId="19" borderId="10" xfId="0" applyNumberFormat="1" applyFont="1" applyFill="1" applyBorder="1" applyAlignment="1">
      <alignment vertical="center" wrapText="1"/>
    </xf>
    <xf numFmtId="2" fontId="4" fillId="19" borderId="10" xfId="0" applyNumberFormat="1" applyFont="1" applyFill="1" applyBorder="1" applyAlignment="1">
      <alignment vertical="center" wrapText="1"/>
    </xf>
    <xf numFmtId="0" fontId="4" fillId="0" borderId="10" xfId="0" applyNumberFormat="1" applyFont="1" applyBorder="1" applyAlignment="1">
      <alignment horizontal="left" vertical="center" wrapText="1"/>
    </xf>
    <xf numFmtId="172" fontId="6" fillId="0" borderId="10" xfId="0" applyNumberFormat="1" applyFont="1" applyFill="1" applyBorder="1" applyAlignment="1" applyProtection="1">
      <alignment vertical="center"/>
    </xf>
    <xf numFmtId="172" fontId="6" fillId="0" borderId="10" xfId="0" applyFont="1" applyBorder="1" applyAlignment="1">
      <alignment horizontal="center" vertical="center"/>
    </xf>
    <xf numFmtId="172" fontId="6" fillId="0" borderId="11" xfId="0" applyFont="1" applyBorder="1" applyAlignment="1">
      <alignment vertical="center"/>
    </xf>
    <xf numFmtId="172" fontId="6" fillId="0" borderId="12" xfId="0" applyFont="1" applyBorder="1" applyAlignment="1">
      <alignment vertical="center"/>
    </xf>
    <xf numFmtId="172" fontId="6" fillId="0" borderId="13" xfId="0" applyFont="1" applyBorder="1" applyAlignment="1">
      <alignment vertical="center"/>
    </xf>
    <xf numFmtId="172" fontId="6" fillId="0" borderId="0" xfId="0" applyFont="1" applyBorder="1" applyAlignment="1">
      <alignment vertical="center" wrapText="1"/>
    </xf>
    <xf numFmtId="172" fontId="4" fillId="0" borderId="0" xfId="0" applyFont="1" applyBorder="1" applyAlignment="1">
      <alignment vertical="center"/>
    </xf>
    <xf numFmtId="172" fontId="6" fillId="0" borderId="0" xfId="0" applyFont="1" applyBorder="1" applyAlignment="1">
      <alignment vertical="center"/>
    </xf>
    <xf numFmtId="173" fontId="4" fillId="0" borderId="0" xfId="0" applyNumberFormat="1" applyFont="1" applyBorder="1" applyAlignment="1" applyProtection="1">
      <alignment vertical="center"/>
    </xf>
    <xf numFmtId="173" fontId="6" fillId="0" borderId="0" xfId="0" applyNumberFormat="1" applyFont="1" applyBorder="1" applyAlignment="1" applyProtection="1">
      <alignment vertical="center"/>
    </xf>
    <xf numFmtId="172" fontId="4" fillId="0" borderId="0" xfId="0" applyFont="1" applyBorder="1" applyAlignment="1">
      <alignment horizontal="right" vertical="center"/>
    </xf>
    <xf numFmtId="172" fontId="6" fillId="0" borderId="12" xfId="0" applyNumberFormat="1" applyFont="1" applyBorder="1" applyAlignment="1" applyProtection="1">
      <alignment vertical="center"/>
    </xf>
    <xf numFmtId="172" fontId="6" fillId="0" borderId="0" xfId="0" applyNumberFormat="1" applyFont="1" applyBorder="1" applyAlignment="1" applyProtection="1">
      <alignment vertical="center"/>
    </xf>
    <xf numFmtId="172" fontId="6" fillId="0" borderId="14" xfId="0" applyFont="1" applyBorder="1" applyAlignment="1">
      <alignment vertical="center"/>
    </xf>
    <xf numFmtId="172" fontId="6" fillId="0" borderId="15" xfId="0" applyFont="1" applyBorder="1" applyAlignment="1">
      <alignment vertical="center"/>
    </xf>
    <xf numFmtId="172" fontId="4" fillId="0" borderId="16" xfId="0" applyFont="1" applyBorder="1" applyAlignment="1">
      <alignment vertical="center"/>
    </xf>
    <xf numFmtId="172" fontId="4" fillId="0" borderId="17" xfId="0" applyFont="1" applyBorder="1" applyAlignment="1">
      <alignment horizontal="center"/>
    </xf>
    <xf numFmtId="172" fontId="4" fillId="0" borderId="18" xfId="0" applyFont="1" applyBorder="1" applyAlignment="1">
      <alignment vertical="center"/>
    </xf>
    <xf numFmtId="172" fontId="6" fillId="0" borderId="19" xfId="0" applyFont="1" applyBorder="1" applyAlignment="1">
      <alignment vertical="center"/>
    </xf>
    <xf numFmtId="173" fontId="6" fillId="0" borderId="20" xfId="0" applyNumberFormat="1" applyFont="1" applyBorder="1" applyAlignment="1">
      <alignment vertical="center"/>
    </xf>
    <xf numFmtId="173" fontId="4" fillId="0" borderId="20" xfId="0" applyNumberFormat="1" applyFont="1" applyBorder="1" applyAlignment="1">
      <alignment vertical="center"/>
    </xf>
    <xf numFmtId="172" fontId="4" fillId="0" borderId="19" xfId="0" applyFont="1" applyBorder="1" applyAlignment="1">
      <alignment vertical="center"/>
    </xf>
    <xf numFmtId="173" fontId="6" fillId="0" borderId="21" xfId="0" applyNumberFormat="1" applyFont="1" applyBorder="1" applyAlignment="1">
      <alignment vertical="center"/>
    </xf>
    <xf numFmtId="172" fontId="6" fillId="0" borderId="22" xfId="0" applyFont="1" applyBorder="1" applyAlignment="1">
      <alignment vertical="center"/>
    </xf>
    <xf numFmtId="172" fontId="4" fillId="0" borderId="23" xfId="0" applyFont="1" applyBorder="1" applyAlignment="1">
      <alignment vertical="center"/>
    </xf>
    <xf numFmtId="173" fontId="6" fillId="0" borderId="24" xfId="0" applyNumberFormat="1" applyFont="1" applyBorder="1" applyAlignment="1">
      <alignment vertical="center"/>
    </xf>
    <xf numFmtId="172" fontId="6" fillId="0" borderId="25" xfId="0" applyFont="1" applyBorder="1" applyAlignment="1">
      <alignment vertical="center"/>
    </xf>
    <xf numFmtId="172" fontId="4" fillId="0" borderId="21" xfId="0" applyFont="1" applyBorder="1" applyAlignment="1">
      <alignment vertical="center"/>
    </xf>
    <xf numFmtId="172" fontId="6" fillId="0" borderId="23" xfId="0" applyFont="1" applyBorder="1" applyAlignment="1">
      <alignment vertical="center"/>
    </xf>
    <xf numFmtId="172" fontId="4" fillId="0" borderId="26" xfId="0" applyFont="1" applyBorder="1" applyAlignment="1">
      <alignment horizontal="center"/>
    </xf>
    <xf numFmtId="172" fontId="6" fillId="0" borderId="27" xfId="0" applyFont="1" applyBorder="1" applyAlignment="1">
      <alignment vertical="center"/>
    </xf>
    <xf numFmtId="172" fontId="4" fillId="0" borderId="11" xfId="0" applyFont="1" applyBorder="1" applyAlignment="1">
      <alignment vertical="center"/>
    </xf>
    <xf numFmtId="172" fontId="4" fillId="0" borderId="18" xfId="0" applyFont="1" applyBorder="1" applyAlignment="1">
      <alignment horizontal="center" vertical="center"/>
    </xf>
    <xf numFmtId="0" fontId="4" fillId="0" borderId="10" xfId="0" applyNumberFormat="1" applyFont="1" applyFill="1" applyBorder="1" applyAlignment="1">
      <alignment vertical="top" wrapText="1"/>
    </xf>
    <xf numFmtId="172" fontId="6" fillId="0" borderId="13" xfId="0" applyNumberFormat="1" applyFont="1" applyBorder="1" applyAlignment="1" applyProtection="1">
      <alignment vertical="center"/>
    </xf>
    <xf numFmtId="172" fontId="0" fillId="0" borderId="13" xfId="0" applyBorder="1" applyAlignment="1">
      <alignment vertical="center"/>
    </xf>
    <xf numFmtId="172" fontId="4" fillId="0" borderId="0" xfId="0" applyNumberFormat="1" applyFont="1" applyBorder="1" applyAlignment="1" applyProtection="1">
      <alignment vertical="center"/>
    </xf>
    <xf numFmtId="172" fontId="3" fillId="0" borderId="0" xfId="0" applyNumberFormat="1" applyFont="1" applyBorder="1" applyAlignment="1" applyProtection="1">
      <alignment vertical="center"/>
      <protection locked="0"/>
    </xf>
    <xf numFmtId="172" fontId="6" fillId="0" borderId="0" xfId="0" quotePrefix="1" applyNumberFormat="1" applyFont="1" applyBorder="1" applyAlignment="1" applyProtection="1">
      <alignment vertical="center"/>
    </xf>
    <xf numFmtId="172" fontId="0" fillId="0" borderId="0" xfId="0" applyBorder="1" applyAlignment="1">
      <alignment vertical="center"/>
    </xf>
    <xf numFmtId="172" fontId="6" fillId="0" borderId="10" xfId="0" applyNumberFormat="1" applyFont="1" applyBorder="1" applyAlignment="1" applyProtection="1">
      <alignment horizontal="center" vertical="center"/>
    </xf>
    <xf numFmtId="172" fontId="0" fillId="0" borderId="10" xfId="0" applyBorder="1" applyAlignment="1">
      <alignment horizontal="center" vertical="center"/>
    </xf>
    <xf numFmtId="172" fontId="4" fillId="0" borderId="10" xfId="0" applyFont="1" applyBorder="1" applyAlignment="1">
      <alignment horizontal="center" vertical="center"/>
    </xf>
    <xf numFmtId="172" fontId="6" fillId="0" borderId="10" xfId="0" applyNumberFormat="1" applyFont="1" applyFill="1" applyBorder="1" applyAlignment="1" applyProtection="1">
      <alignment vertical="top"/>
    </xf>
    <xf numFmtId="172" fontId="6" fillId="0" borderId="10" xfId="0" applyFont="1" applyFill="1" applyBorder="1" applyAlignment="1">
      <alignment vertical="top"/>
    </xf>
    <xf numFmtId="172" fontId="6" fillId="0" borderId="12" xfId="0" applyNumberFormat="1" applyFont="1" applyFill="1" applyBorder="1" applyAlignment="1" applyProtection="1">
      <alignment vertical="center"/>
    </xf>
    <xf numFmtId="172" fontId="6" fillId="0" borderId="12" xfId="0" applyFont="1" applyFill="1" applyBorder="1" applyAlignment="1">
      <alignment vertical="center"/>
    </xf>
    <xf numFmtId="172" fontId="6" fillId="0" borderId="13" xfId="0" applyNumberFormat="1" applyFont="1" applyFill="1" applyBorder="1" applyAlignment="1" applyProtection="1">
      <alignment vertical="center"/>
    </xf>
    <xf numFmtId="172" fontId="4" fillId="0" borderId="13" xfId="0" applyFont="1" applyBorder="1" applyAlignment="1">
      <alignment vertical="center"/>
    </xf>
    <xf numFmtId="0" fontId="4" fillId="0" borderId="0" xfId="0" applyNumberFormat="1" applyFont="1" applyBorder="1" applyAlignment="1">
      <alignment horizontal="left" vertical="top" wrapText="1"/>
    </xf>
    <xf numFmtId="9" fontId="6" fillId="0" borderId="12" xfId="55" applyNumberFormat="1" applyFont="1" applyBorder="1" applyAlignment="1" applyProtection="1">
      <alignment vertical="center"/>
    </xf>
    <xf numFmtId="0" fontId="6" fillId="0" borderId="10" xfId="0" applyNumberFormat="1" applyFont="1" applyBorder="1" applyAlignment="1">
      <alignment vertical="top" wrapText="1"/>
    </xf>
    <xf numFmtId="0" fontId="6" fillId="0" borderId="0" xfId="0" applyNumberFormat="1" applyFont="1" applyBorder="1" applyAlignment="1"/>
    <xf numFmtId="172" fontId="6" fillId="0" borderId="0" xfId="0" applyFont="1" applyAlignment="1">
      <alignment wrapText="1"/>
    </xf>
    <xf numFmtId="172" fontId="6" fillId="0" borderId="0" xfId="0" applyFont="1" applyAlignment="1">
      <alignment horizontal="left" vertical="top" wrapText="1"/>
    </xf>
    <xf numFmtId="172" fontId="6" fillId="0" borderId="0" xfId="0" applyFont="1" applyAlignment="1">
      <alignment horizontal="right" vertical="top" wrapText="1"/>
    </xf>
    <xf numFmtId="183" fontId="6" fillId="18" borderId="10" xfId="40" applyNumberFormat="1" applyFont="1" applyFill="1" applyBorder="1" applyAlignment="1">
      <alignment horizontal="left" wrapText="1"/>
    </xf>
    <xf numFmtId="0" fontId="6" fillId="0" borderId="10" xfId="0" applyNumberFormat="1" applyFont="1" applyBorder="1" applyAlignment="1">
      <alignment vertical="center" wrapText="1"/>
    </xf>
    <xf numFmtId="0" fontId="4" fillId="0" borderId="10" xfId="0" applyNumberFormat="1" applyFont="1" applyBorder="1" applyAlignment="1">
      <alignment vertical="center" wrapText="1"/>
    </xf>
    <xf numFmtId="0" fontId="4" fillId="0" borderId="10" xfId="0" applyNumberFormat="1" applyFont="1" applyBorder="1" applyAlignment="1">
      <alignment horizontal="center" vertical="top" wrapText="1"/>
    </xf>
    <xf numFmtId="172" fontId="4" fillId="0" borderId="10" xfId="0" applyNumberFormat="1" applyFont="1" applyBorder="1" applyAlignment="1">
      <alignment horizontal="center" vertical="top" wrapText="1"/>
    </xf>
    <xf numFmtId="172" fontId="4" fillId="0" borderId="10" xfId="0" applyNumberFormat="1" applyFont="1" applyFill="1" applyBorder="1" applyAlignment="1">
      <alignment horizontal="center" vertical="top" wrapText="1"/>
    </xf>
    <xf numFmtId="0" fontId="6" fillId="0" borderId="10" xfId="0" applyNumberFormat="1" applyFont="1" applyFill="1" applyBorder="1" applyAlignment="1">
      <alignment vertical="top" wrapText="1"/>
    </xf>
    <xf numFmtId="172" fontId="6" fillId="0" borderId="10" xfId="0" applyNumberFormat="1" applyFont="1" applyFill="1" applyBorder="1" applyAlignment="1">
      <alignment vertical="top" wrapText="1"/>
    </xf>
    <xf numFmtId="0" fontId="6" fillId="0" borderId="10" xfId="0" applyNumberFormat="1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vertical="center" wrapText="1"/>
    </xf>
    <xf numFmtId="172" fontId="6" fillId="0" borderId="10" xfId="0" applyNumberFormat="1" applyFont="1" applyFill="1" applyBorder="1" applyAlignment="1">
      <alignment vertical="center" wrapText="1"/>
    </xf>
    <xf numFmtId="172" fontId="4" fillId="0" borderId="10" xfId="0" applyNumberFormat="1" applyFont="1" applyFill="1" applyBorder="1" applyAlignment="1">
      <alignment vertical="top" wrapText="1"/>
    </xf>
    <xf numFmtId="0" fontId="4" fillId="0" borderId="10" xfId="0" applyNumberFormat="1" applyFont="1" applyFill="1" applyBorder="1" applyAlignment="1">
      <alignment horizontal="center" vertical="top" wrapText="1"/>
    </xf>
    <xf numFmtId="0" fontId="6" fillId="0" borderId="10" xfId="0" applyNumberFormat="1" applyFont="1" applyFill="1" applyBorder="1" applyAlignment="1">
      <alignment horizontal="center" vertical="top" wrapText="1"/>
    </xf>
    <xf numFmtId="0" fontId="6" fillId="0" borderId="10" xfId="0" applyNumberFormat="1" applyFont="1" applyBorder="1" applyAlignment="1">
      <alignment horizontal="center" vertical="top" wrapText="1"/>
    </xf>
    <xf numFmtId="0" fontId="61" fillId="0" borderId="10" xfId="0" applyNumberFormat="1" applyFont="1" applyFill="1" applyBorder="1" applyAlignment="1">
      <alignment horizontal="left" vertical="top" wrapText="1"/>
    </xf>
    <xf numFmtId="0" fontId="4" fillId="19" borderId="10" xfId="0" applyNumberFormat="1" applyFont="1" applyFill="1" applyBorder="1" applyAlignment="1">
      <alignment vertical="top" wrapText="1"/>
    </xf>
    <xf numFmtId="172" fontId="6" fillId="0" borderId="0" xfId="0" applyFont="1" applyAlignment="1">
      <alignment horizontal="center" vertical="top" wrapText="1"/>
    </xf>
    <xf numFmtId="172" fontId="4" fillId="19" borderId="10" xfId="0" applyNumberFormat="1" applyFont="1" applyFill="1" applyBorder="1" applyAlignment="1">
      <alignment vertical="top" wrapText="1"/>
    </xf>
    <xf numFmtId="2" fontId="4" fillId="0" borderId="10" xfId="0" applyNumberFormat="1" applyFont="1" applyFill="1" applyBorder="1" applyAlignment="1">
      <alignment vertical="center" wrapText="1"/>
    </xf>
    <xf numFmtId="172" fontId="6" fillId="0" borderId="0" xfId="0" applyNumberFormat="1" applyFont="1" applyBorder="1" applyAlignment="1" applyProtection="1">
      <alignment vertical="top"/>
    </xf>
    <xf numFmtId="172" fontId="6" fillId="0" borderId="0" xfId="0" applyFont="1" applyFill="1" applyBorder="1" applyAlignment="1">
      <alignment vertical="top"/>
    </xf>
    <xf numFmtId="2" fontId="6" fillId="0" borderId="0" xfId="0" applyNumberFormat="1" applyFont="1" applyBorder="1" applyAlignment="1">
      <alignment vertical="top"/>
    </xf>
    <xf numFmtId="0" fontId="2" fillId="0" borderId="10" xfId="0" applyNumberFormat="1" applyFont="1" applyBorder="1" applyAlignment="1">
      <alignment horizontal="center" vertical="top" wrapText="1"/>
    </xf>
    <xf numFmtId="0" fontId="2" fillId="0" borderId="12" xfId="0" applyNumberFormat="1" applyFont="1" applyBorder="1" applyAlignment="1">
      <alignment horizontal="center" vertical="top" wrapText="1"/>
    </xf>
    <xf numFmtId="0" fontId="29" fillId="0" borderId="10" xfId="0" applyNumberFormat="1" applyFont="1" applyBorder="1" applyAlignment="1">
      <alignment horizontal="center" vertical="top" wrapText="1"/>
    </xf>
    <xf numFmtId="179" fontId="6" fillId="0" borderId="10" xfId="0" applyNumberFormat="1" applyFont="1" applyFill="1" applyBorder="1" applyAlignment="1">
      <alignment vertical="top" wrapText="1"/>
    </xf>
    <xf numFmtId="0" fontId="4" fillId="19" borderId="10" xfId="0" applyNumberFormat="1" applyFont="1" applyFill="1" applyBorder="1" applyAlignment="1">
      <alignment horizontal="left" vertical="center" wrapText="1"/>
    </xf>
    <xf numFmtId="0" fontId="6" fillId="19" borderId="10" xfId="0" applyNumberFormat="1" applyFont="1" applyFill="1" applyBorder="1" applyAlignment="1">
      <alignment vertical="top" wrapText="1"/>
    </xf>
    <xf numFmtId="173" fontId="6" fillId="0" borderId="10" xfId="0" applyNumberFormat="1" applyFont="1" applyFill="1" applyBorder="1" applyAlignment="1">
      <alignment vertical="top" wrapText="1"/>
    </xf>
    <xf numFmtId="0" fontId="62" fillId="0" borderId="10" xfId="0" applyNumberFormat="1" applyFont="1" applyBorder="1" applyAlignment="1">
      <alignment horizontal="center" vertical="top"/>
    </xf>
    <xf numFmtId="0" fontId="62" fillId="0" borderId="10" xfId="0" applyNumberFormat="1" applyFont="1" applyFill="1" applyBorder="1" applyAlignment="1">
      <alignment horizontal="center" vertical="top"/>
    </xf>
    <xf numFmtId="172" fontId="6" fillId="0" borderId="13" xfId="0" applyNumberFormat="1" applyFont="1" applyFill="1" applyBorder="1" applyAlignment="1" applyProtection="1">
      <alignment vertical="top"/>
    </xf>
    <xf numFmtId="172" fontId="6" fillId="0" borderId="13" xfId="0" applyFont="1" applyFill="1" applyBorder="1" applyAlignment="1">
      <alignment vertical="top"/>
    </xf>
    <xf numFmtId="0" fontId="4" fillId="0" borderId="10" xfId="0" applyNumberFormat="1" applyFont="1" applyFill="1" applyBorder="1" applyAlignment="1">
      <alignment horizontal="left" vertical="top" wrapText="1"/>
    </xf>
    <xf numFmtId="172" fontId="6" fillId="0" borderId="10" xfId="0" applyNumberFormat="1" applyFont="1" applyFill="1" applyBorder="1" applyAlignment="1">
      <alignment horizontal="center" vertical="top" wrapText="1"/>
    </xf>
    <xf numFmtId="0" fontId="6" fillId="0" borderId="10" xfId="0" applyNumberFormat="1" applyFont="1" applyFill="1" applyBorder="1" applyAlignment="1">
      <alignment vertical="top"/>
    </xf>
    <xf numFmtId="172" fontId="6" fillId="20" borderId="10" xfId="0" applyNumberFormat="1" applyFont="1" applyFill="1" applyBorder="1" applyAlignment="1">
      <alignment vertical="top" wrapText="1"/>
    </xf>
    <xf numFmtId="2" fontId="6" fillId="0" borderId="10" xfId="0" applyNumberFormat="1" applyFont="1" applyBorder="1" applyAlignment="1">
      <alignment vertical="top" wrapText="1"/>
    </xf>
    <xf numFmtId="0" fontId="6" fillId="0" borderId="10" xfId="0" applyNumberFormat="1" applyFont="1" applyFill="1" applyBorder="1" applyAlignment="1">
      <alignment horizontal="right" vertical="top" wrapText="1"/>
    </xf>
    <xf numFmtId="0" fontId="32" fillId="0" borderId="10" xfId="0" applyNumberFormat="1" applyFont="1" applyBorder="1" applyAlignment="1">
      <alignment horizontal="center" vertical="top" wrapText="1"/>
    </xf>
    <xf numFmtId="172" fontId="32" fillId="0" borderId="10" xfId="0" applyNumberFormat="1" applyFont="1" applyBorder="1" applyAlignment="1">
      <alignment horizontal="center" vertical="top" wrapText="1"/>
    </xf>
    <xf numFmtId="172" fontId="32" fillId="0" borderId="10" xfId="0" applyNumberFormat="1" applyFont="1" applyFill="1" applyBorder="1" applyAlignment="1">
      <alignment horizontal="center" vertical="top" wrapText="1"/>
    </xf>
    <xf numFmtId="0" fontId="32" fillId="0" borderId="10" xfId="0" applyNumberFormat="1" applyFont="1" applyFill="1" applyBorder="1" applyAlignment="1">
      <alignment horizontal="center" vertical="top" wrapText="1"/>
    </xf>
    <xf numFmtId="0" fontId="32" fillId="21" borderId="10" xfId="0" applyNumberFormat="1" applyFont="1" applyFill="1" applyBorder="1" applyAlignment="1">
      <alignment horizontal="left" vertical="top" wrapText="1"/>
    </xf>
    <xf numFmtId="172" fontId="33" fillId="0" borderId="10" xfId="0" applyNumberFormat="1" applyFont="1" applyFill="1" applyBorder="1" applyAlignment="1">
      <alignment horizontal="center" vertical="top" wrapText="1"/>
    </xf>
    <xf numFmtId="188" fontId="6" fillId="0" borderId="12" xfId="0" applyNumberFormat="1" applyFont="1" applyFill="1" applyBorder="1" applyAlignment="1">
      <alignment horizontal="center" vertical="top" wrapText="1"/>
    </xf>
    <xf numFmtId="2" fontId="6" fillId="0" borderId="12" xfId="0" applyNumberFormat="1" applyFont="1" applyFill="1" applyBorder="1" applyAlignment="1">
      <alignment horizontal="right" vertical="top" wrapText="1"/>
    </xf>
    <xf numFmtId="0" fontId="28" fillId="0" borderId="12" xfId="0" applyNumberFormat="1" applyFont="1" applyBorder="1" applyAlignment="1">
      <alignment horizontal="center" vertical="top" wrapText="1"/>
    </xf>
    <xf numFmtId="172" fontId="6" fillId="0" borderId="12" xfId="0" applyNumberFormat="1" applyFont="1" applyFill="1" applyBorder="1" applyAlignment="1">
      <alignment horizontal="center" vertical="top" wrapText="1"/>
    </xf>
    <xf numFmtId="0" fontId="6" fillId="0" borderId="10" xfId="0" applyNumberFormat="1" applyFont="1" applyBorder="1" applyAlignment="1">
      <alignment horizontal="right" vertical="center" wrapText="1"/>
    </xf>
    <xf numFmtId="0" fontId="6" fillId="22" borderId="10" xfId="0" applyNumberFormat="1" applyFont="1" applyFill="1" applyBorder="1" applyAlignment="1">
      <alignment horizontal="left" vertical="center" wrapText="1"/>
    </xf>
    <xf numFmtId="0" fontId="6" fillId="22" borderId="10" xfId="0" applyNumberFormat="1" applyFont="1" applyFill="1" applyBorder="1" applyAlignment="1">
      <alignment vertical="top" wrapText="1"/>
    </xf>
    <xf numFmtId="172" fontId="4" fillId="22" borderId="0" xfId="0" applyNumberFormat="1" applyFont="1" applyFill="1" applyBorder="1" applyAlignment="1" applyProtection="1">
      <alignment vertical="center"/>
    </xf>
    <xf numFmtId="172" fontId="6" fillId="22" borderId="0" xfId="0" applyFont="1" applyFill="1" applyBorder="1" applyAlignment="1">
      <alignment vertical="center"/>
    </xf>
    <xf numFmtId="172" fontId="6" fillId="22" borderId="0" xfId="0" applyNumberFormat="1" applyFont="1" applyFill="1" applyBorder="1" applyAlignment="1" applyProtection="1">
      <alignment vertical="center"/>
    </xf>
    <xf numFmtId="172" fontId="6" fillId="0" borderId="0" xfId="0" applyFont="1" applyFill="1" applyBorder="1" applyAlignment="1">
      <alignment vertical="center"/>
    </xf>
    <xf numFmtId="172" fontId="6" fillId="0" borderId="0" xfId="0" applyNumberFormat="1" applyFont="1" applyFill="1" applyBorder="1" applyAlignment="1" applyProtection="1">
      <alignment horizontal="center" vertical="center"/>
    </xf>
    <xf numFmtId="172" fontId="6" fillId="0" borderId="0" xfId="0" applyNumberFormat="1" applyFont="1" applyFill="1" applyBorder="1" applyAlignment="1" applyProtection="1">
      <alignment vertical="center"/>
    </xf>
    <xf numFmtId="172" fontId="6" fillId="0" borderId="10" xfId="0" applyNumberFormat="1" applyFont="1" applyFill="1" applyBorder="1" applyAlignment="1" applyProtection="1">
      <alignment horizontal="center" vertical="center"/>
    </xf>
    <xf numFmtId="172" fontId="6" fillId="0" borderId="10" xfId="0" quotePrefix="1" applyNumberFormat="1" applyFont="1" applyFill="1" applyBorder="1" applyAlignment="1" applyProtection="1">
      <alignment horizontal="center" vertical="center"/>
    </xf>
    <xf numFmtId="172" fontId="7" fillId="22" borderId="0" xfId="0" applyFont="1" applyFill="1" applyBorder="1" applyAlignment="1">
      <alignment vertical="center"/>
    </xf>
    <xf numFmtId="9" fontId="6" fillId="22" borderId="10" xfId="0" applyNumberFormat="1" applyFont="1" applyFill="1" applyBorder="1" applyAlignment="1" applyProtection="1">
      <alignment vertical="center"/>
    </xf>
    <xf numFmtId="9" fontId="6" fillId="22" borderId="10" xfId="55" applyFont="1" applyFill="1" applyBorder="1" applyAlignment="1" applyProtection="1">
      <alignment horizontal="center" vertical="center"/>
    </xf>
    <xf numFmtId="172" fontId="6" fillId="22" borderId="10" xfId="0" applyNumberFormat="1" applyFont="1" applyFill="1" applyBorder="1" applyAlignment="1" applyProtection="1">
      <alignment vertical="center"/>
    </xf>
    <xf numFmtId="9" fontId="6" fillId="22" borderId="10" xfId="55" applyFont="1" applyFill="1" applyBorder="1" applyAlignment="1" applyProtection="1">
      <alignment vertical="center"/>
    </xf>
    <xf numFmtId="178" fontId="6" fillId="0" borderId="0" xfId="0" applyNumberFormat="1" applyFont="1" applyBorder="1" applyAlignment="1">
      <alignment vertical="center"/>
    </xf>
    <xf numFmtId="177" fontId="6" fillId="0" borderId="0" xfId="0" applyNumberFormat="1" applyFont="1" applyBorder="1" applyAlignment="1" applyProtection="1">
      <alignment vertical="center"/>
    </xf>
    <xf numFmtId="174" fontId="6" fillId="0" borderId="0" xfId="55" applyNumberFormat="1" applyFont="1" applyBorder="1" applyAlignment="1">
      <alignment horizontal="center" vertical="center"/>
    </xf>
    <xf numFmtId="10" fontId="6" fillId="0" borderId="0" xfId="55" applyNumberFormat="1" applyFont="1" applyBorder="1" applyAlignment="1">
      <alignment horizontal="center" vertical="center"/>
    </xf>
    <xf numFmtId="9" fontId="6" fillId="0" borderId="0" xfId="55" applyNumberFormat="1" applyFont="1" applyBorder="1" applyAlignment="1">
      <alignment horizontal="center" vertical="center"/>
    </xf>
    <xf numFmtId="180" fontId="4" fillId="0" borderId="0" xfId="0" applyNumberFormat="1" applyFont="1" applyBorder="1" applyAlignment="1">
      <alignment horizontal="right" vertical="center"/>
    </xf>
    <xf numFmtId="9" fontId="6" fillId="0" borderId="0" xfId="55" applyNumberFormat="1" applyFont="1" applyBorder="1" applyAlignment="1">
      <alignment vertical="center"/>
    </xf>
    <xf numFmtId="174" fontId="6" fillId="0" borderId="0" xfId="0" applyNumberFormat="1" applyFont="1" applyBorder="1" applyAlignment="1">
      <alignment vertical="center"/>
    </xf>
    <xf numFmtId="9" fontId="6" fillId="0" borderId="0" xfId="0" applyNumberFormat="1" applyFont="1" applyBorder="1" applyAlignment="1">
      <alignment vertical="center"/>
    </xf>
    <xf numFmtId="185" fontId="4" fillId="0" borderId="0" xfId="0" applyNumberFormat="1" applyFont="1" applyBorder="1" applyAlignment="1">
      <alignment vertical="center"/>
    </xf>
    <xf numFmtId="172" fontId="6" fillId="0" borderId="0" xfId="0" quotePrefix="1" applyFont="1" applyBorder="1" applyAlignment="1">
      <alignment vertical="center"/>
    </xf>
    <xf numFmtId="173" fontId="5" fillId="0" borderId="0" xfId="0" applyNumberFormat="1" applyFont="1" applyFill="1" applyBorder="1" applyAlignment="1" applyProtection="1">
      <alignment vertical="center"/>
    </xf>
    <xf numFmtId="172" fontId="8" fillId="0" borderId="0" xfId="0" applyFont="1" applyFill="1" applyBorder="1" applyAlignment="1">
      <alignment vertical="center"/>
    </xf>
    <xf numFmtId="180" fontId="8" fillId="0" borderId="0" xfId="0" applyNumberFormat="1" applyFont="1" applyFill="1" applyBorder="1" applyAlignment="1">
      <alignment vertical="center"/>
    </xf>
    <xf numFmtId="172" fontId="11" fillId="0" borderId="0" xfId="0" applyNumberFormat="1" applyFont="1" applyFill="1" applyBorder="1" applyAlignment="1" applyProtection="1">
      <alignment vertical="center"/>
    </xf>
    <xf numFmtId="172" fontId="11" fillId="0" borderId="0" xfId="0" applyFont="1" applyFill="1" applyBorder="1" applyAlignment="1">
      <alignment vertical="center"/>
    </xf>
    <xf numFmtId="173" fontId="6" fillId="0" borderId="0" xfId="0" applyNumberFormat="1" applyFont="1" applyFill="1" applyBorder="1" applyAlignment="1" applyProtection="1">
      <alignment vertical="top"/>
    </xf>
    <xf numFmtId="180" fontId="8" fillId="0" borderId="0" xfId="0" applyNumberFormat="1" applyFont="1" applyFill="1" applyBorder="1" applyAlignment="1">
      <alignment vertical="top"/>
    </xf>
    <xf numFmtId="172" fontId="11" fillId="0" borderId="0" xfId="0" applyNumberFormat="1" applyFont="1" applyFill="1" applyBorder="1" applyAlignment="1" applyProtection="1">
      <alignment vertical="top"/>
    </xf>
    <xf numFmtId="172" fontId="11" fillId="0" borderId="0" xfId="0" applyFont="1" applyFill="1" applyBorder="1" applyAlignment="1">
      <alignment vertical="top"/>
    </xf>
    <xf numFmtId="172" fontId="11" fillId="19" borderId="0" xfId="0" applyNumberFormat="1" applyFont="1" applyFill="1" applyBorder="1" applyAlignment="1" applyProtection="1">
      <alignment vertical="top"/>
    </xf>
    <xf numFmtId="172" fontId="11" fillId="22" borderId="0" xfId="0" applyNumberFormat="1" applyFont="1" applyFill="1" applyBorder="1" applyAlignment="1" applyProtection="1">
      <alignment vertical="top"/>
    </xf>
    <xf numFmtId="173" fontId="6" fillId="0" borderId="0" xfId="0" applyNumberFormat="1" applyFont="1" applyFill="1" applyBorder="1" applyAlignment="1" applyProtection="1">
      <alignment horizontal="center" vertical="center"/>
    </xf>
    <xf numFmtId="172" fontId="5" fillId="0" borderId="0" xfId="0" applyNumberFormat="1" applyFont="1" applyBorder="1" applyAlignment="1" applyProtection="1">
      <alignment vertical="center"/>
    </xf>
    <xf numFmtId="172" fontId="11" fillId="20" borderId="0" xfId="0" applyNumberFormat="1" applyFont="1" applyFill="1" applyBorder="1" applyAlignment="1" applyProtection="1">
      <alignment vertical="center"/>
    </xf>
    <xf numFmtId="172" fontId="11" fillId="19" borderId="0" xfId="0" applyNumberFormat="1" applyFont="1" applyFill="1" applyBorder="1" applyAlignment="1" applyProtection="1">
      <alignment vertical="center"/>
    </xf>
    <xf numFmtId="9" fontId="6" fillId="0" borderId="0" xfId="55" applyNumberFormat="1" applyFont="1" applyBorder="1" applyAlignment="1" applyProtection="1">
      <alignment vertical="center"/>
    </xf>
    <xf numFmtId="173" fontId="6" fillId="0" borderId="0" xfId="0" applyNumberFormat="1" applyFont="1" applyFill="1" applyBorder="1" applyAlignment="1" applyProtection="1">
      <alignment vertical="center"/>
    </xf>
    <xf numFmtId="10" fontId="6" fillId="0" borderId="0" xfId="0" applyNumberFormat="1" applyFont="1" applyBorder="1" applyAlignment="1" applyProtection="1">
      <alignment vertical="center"/>
    </xf>
    <xf numFmtId="172" fontId="0" fillId="0" borderId="0" xfId="0" applyNumberFormat="1" applyBorder="1" applyAlignment="1" applyProtection="1">
      <alignment vertical="center"/>
    </xf>
    <xf numFmtId="9" fontId="6" fillId="22" borderId="0" xfId="55" applyNumberFormat="1" applyFont="1" applyFill="1" applyBorder="1" applyAlignment="1" applyProtection="1">
      <alignment vertical="center"/>
    </xf>
    <xf numFmtId="9" fontId="6" fillId="0" borderId="0" xfId="55" applyFont="1" applyBorder="1" applyAlignment="1" applyProtection="1">
      <alignment vertical="center"/>
    </xf>
    <xf numFmtId="174" fontId="6" fillId="22" borderId="0" xfId="55" applyNumberFormat="1" applyFont="1" applyFill="1" applyBorder="1" applyAlignment="1" applyProtection="1">
      <alignment vertical="center"/>
    </xf>
    <xf numFmtId="174" fontId="6" fillId="0" borderId="0" xfId="55" applyNumberFormat="1" applyFont="1" applyBorder="1" applyAlignment="1">
      <alignment vertical="center"/>
    </xf>
    <xf numFmtId="10" fontId="6" fillId="0" borderId="0" xfId="55" applyNumberFormat="1" applyFont="1" applyBorder="1" applyAlignment="1" applyProtection="1">
      <alignment vertical="center"/>
    </xf>
    <xf numFmtId="172" fontId="4" fillId="0" borderId="0" xfId="0" applyFont="1" applyFill="1" applyBorder="1" applyAlignment="1">
      <alignment vertical="center"/>
    </xf>
    <xf numFmtId="174" fontId="6" fillId="0" borderId="0" xfId="55" applyNumberFormat="1" applyFont="1" applyBorder="1" applyAlignment="1" applyProtection="1">
      <alignment vertical="center"/>
    </xf>
    <xf numFmtId="172" fontId="6" fillId="0" borderId="0" xfId="0" applyNumberFormat="1" applyFont="1" applyBorder="1" applyAlignment="1">
      <alignment vertical="center"/>
    </xf>
    <xf numFmtId="174" fontId="6" fillId="0" borderId="0" xfId="0" applyNumberFormat="1" applyFont="1" applyBorder="1" applyAlignment="1" applyProtection="1">
      <alignment vertical="center"/>
    </xf>
    <xf numFmtId="173" fontId="6" fillId="0" borderId="0" xfId="0" applyNumberFormat="1" applyFont="1" applyBorder="1" applyAlignment="1">
      <alignment vertical="center"/>
    </xf>
    <xf numFmtId="172" fontId="6" fillId="0" borderId="0" xfId="0" applyFont="1" applyBorder="1" applyAlignment="1" applyProtection="1">
      <alignment vertical="center"/>
    </xf>
    <xf numFmtId="2" fontId="6" fillId="0" borderId="0" xfId="0" applyNumberFormat="1" applyFont="1" applyBorder="1" applyAlignment="1">
      <alignment vertical="center"/>
    </xf>
    <xf numFmtId="172" fontId="5" fillId="0" borderId="0" xfId="0" applyFont="1" applyBorder="1" applyAlignment="1">
      <alignment vertical="center"/>
    </xf>
    <xf numFmtId="186" fontId="4" fillId="0" borderId="0" xfId="0" applyNumberFormat="1" applyFont="1" applyBorder="1" applyAlignment="1">
      <alignment vertical="center"/>
    </xf>
    <xf numFmtId="176" fontId="6" fillId="0" borderId="0" xfId="0" applyNumberFormat="1" applyFont="1" applyBorder="1" applyAlignment="1" applyProtection="1">
      <alignment vertical="center"/>
    </xf>
    <xf numFmtId="172" fontId="9" fillId="0" borderId="0" xfId="0" applyNumberFormat="1" applyFont="1" applyBorder="1" applyAlignment="1">
      <alignment vertical="top"/>
    </xf>
    <xf numFmtId="172" fontId="9" fillId="0" borderId="0" xfId="0" applyNumberFormat="1" applyFont="1" applyFill="1" applyBorder="1" applyAlignment="1">
      <alignment vertical="top"/>
    </xf>
    <xf numFmtId="172" fontId="6" fillId="0" borderId="0" xfId="0" applyFont="1" applyBorder="1" applyAlignment="1">
      <alignment vertical="top"/>
    </xf>
    <xf numFmtId="176" fontId="6" fillId="0" borderId="0" xfId="0" applyNumberFormat="1" applyFont="1" applyBorder="1" applyAlignment="1" applyProtection="1">
      <alignment vertical="top"/>
    </xf>
    <xf numFmtId="173" fontId="6" fillId="0" borderId="0" xfId="0" applyNumberFormat="1" applyFont="1" applyBorder="1" applyAlignment="1" applyProtection="1">
      <alignment vertical="top"/>
    </xf>
    <xf numFmtId="172" fontId="9" fillId="0" borderId="0" xfId="0" applyNumberFormat="1" applyFont="1" applyBorder="1" applyAlignment="1" applyProtection="1">
      <alignment vertical="center"/>
    </xf>
    <xf numFmtId="172" fontId="6" fillId="0" borderId="14" xfId="0" applyNumberFormat="1" applyFont="1" applyBorder="1" applyAlignment="1" applyProtection="1">
      <alignment vertical="center"/>
    </xf>
    <xf numFmtId="172" fontId="6" fillId="0" borderId="28" xfId="0" applyFont="1" applyBorder="1" applyAlignment="1">
      <alignment horizontal="center" vertical="center"/>
    </xf>
    <xf numFmtId="172" fontId="6" fillId="0" borderId="28" xfId="0" applyNumberFormat="1" applyFont="1" applyBorder="1" applyAlignment="1" applyProtection="1">
      <alignment horizontal="center" vertical="center"/>
    </xf>
    <xf numFmtId="172" fontId="6" fillId="0" borderId="11" xfId="0" applyNumberFormat="1" applyFont="1" applyBorder="1" applyAlignment="1" applyProtection="1">
      <alignment vertical="center"/>
    </xf>
    <xf numFmtId="174" fontId="6" fillId="0" borderId="28" xfId="55" applyNumberFormat="1" applyFont="1" applyBorder="1" applyAlignment="1">
      <alignment horizontal="center" vertical="center"/>
    </xf>
    <xf numFmtId="10" fontId="6" fillId="0" borderId="28" xfId="55" applyNumberFormat="1" applyFont="1" applyBorder="1" applyAlignment="1">
      <alignment horizontal="center" vertical="center"/>
    </xf>
    <xf numFmtId="9" fontId="6" fillId="0" borderId="28" xfId="55" applyFont="1" applyBorder="1" applyAlignment="1">
      <alignment horizontal="center" vertical="center"/>
    </xf>
    <xf numFmtId="9" fontId="6" fillId="0" borderId="28" xfId="55" applyNumberFormat="1" applyFont="1" applyBorder="1" applyAlignment="1">
      <alignment horizontal="center" vertical="center"/>
    </xf>
    <xf numFmtId="10" fontId="6" fillId="0" borderId="28" xfId="0" applyNumberFormat="1" applyFont="1" applyBorder="1" applyAlignment="1">
      <alignment horizontal="center" vertical="center"/>
    </xf>
    <xf numFmtId="172" fontId="4" fillId="0" borderId="29" xfId="0" applyFont="1" applyBorder="1" applyAlignment="1">
      <alignment vertical="center"/>
    </xf>
    <xf numFmtId="172" fontId="6" fillId="0" borderId="15" xfId="0" applyNumberFormat="1" applyFont="1" applyFill="1" applyBorder="1" applyAlignment="1" applyProtection="1">
      <alignment vertical="center"/>
    </xf>
    <xf numFmtId="172" fontId="6" fillId="0" borderId="11" xfId="0" applyNumberFormat="1" applyFont="1" applyFill="1" applyBorder="1" applyAlignment="1" applyProtection="1">
      <alignment vertical="top"/>
    </xf>
    <xf numFmtId="172" fontId="6" fillId="0" borderId="14" xfId="0" applyNumberFormat="1" applyFont="1" applyFill="1" applyBorder="1" applyAlignment="1" applyProtection="1">
      <alignment vertical="top"/>
    </xf>
    <xf numFmtId="172" fontId="4" fillId="0" borderId="28" xfId="0" applyFont="1" applyBorder="1" applyAlignment="1">
      <alignment vertical="center"/>
    </xf>
    <xf numFmtId="172" fontId="6" fillId="0" borderId="28" xfId="0" applyNumberFormat="1" applyFont="1" applyBorder="1" applyAlignment="1" applyProtection="1">
      <alignment vertical="center"/>
    </xf>
    <xf numFmtId="180" fontId="4" fillId="0" borderId="28" xfId="0" applyNumberFormat="1" applyFont="1" applyBorder="1" applyAlignment="1">
      <alignment horizontal="right" vertical="center"/>
    </xf>
    <xf numFmtId="172" fontId="6" fillId="0" borderId="28" xfId="0" applyFont="1" applyBorder="1" applyAlignment="1">
      <alignment vertical="center"/>
    </xf>
    <xf numFmtId="178" fontId="6" fillId="0" borderId="28" xfId="0" applyNumberFormat="1" applyFont="1" applyBorder="1" applyAlignment="1">
      <alignment vertical="center"/>
    </xf>
    <xf numFmtId="9" fontId="6" fillId="0" borderId="28" xfId="55" applyNumberFormat="1" applyFont="1" applyBorder="1" applyAlignment="1">
      <alignment vertical="center"/>
    </xf>
    <xf numFmtId="174" fontId="6" fillId="0" borderId="28" xfId="0" applyNumberFormat="1" applyFont="1" applyBorder="1" applyAlignment="1">
      <alignment vertical="center"/>
    </xf>
    <xf numFmtId="9" fontId="6" fillId="0" borderId="28" xfId="0" applyNumberFormat="1" applyFont="1" applyBorder="1" applyAlignment="1">
      <alignment vertical="center"/>
    </xf>
    <xf numFmtId="172" fontId="4" fillId="0" borderId="28" xfId="0" quotePrefix="1" applyFont="1" applyBorder="1" applyAlignment="1">
      <alignment vertical="center"/>
    </xf>
    <xf numFmtId="185" fontId="4" fillId="0" borderId="28" xfId="0" applyNumberFormat="1" applyFont="1" applyBorder="1" applyAlignment="1">
      <alignment vertical="center"/>
    </xf>
    <xf numFmtId="172" fontId="6" fillId="0" borderId="15" xfId="0" applyNumberFormat="1" applyFont="1" applyBorder="1" applyAlignment="1" applyProtection="1">
      <alignment vertical="center"/>
    </xf>
    <xf numFmtId="173" fontId="6" fillId="0" borderId="29" xfId="0" applyNumberFormat="1" applyFont="1" applyFill="1" applyBorder="1" applyAlignment="1" applyProtection="1">
      <alignment horizontal="center" vertical="center"/>
    </xf>
    <xf numFmtId="172" fontId="4" fillId="0" borderId="29" xfId="0" applyNumberFormat="1" applyFont="1" applyFill="1" applyBorder="1" applyAlignment="1" applyProtection="1">
      <alignment vertical="center"/>
    </xf>
    <xf numFmtId="172" fontId="11" fillId="0" borderId="29" xfId="0" applyNumberFormat="1" applyFont="1" applyFill="1" applyBorder="1" applyAlignment="1" applyProtection="1">
      <alignment vertical="center"/>
    </xf>
    <xf numFmtId="172" fontId="10" fillId="0" borderId="29" xfId="0" applyNumberFormat="1" applyFont="1" applyFill="1" applyBorder="1" applyAlignment="1" applyProtection="1">
      <alignment vertical="center"/>
    </xf>
    <xf numFmtId="173" fontId="6" fillId="0" borderId="29" xfId="0" applyNumberFormat="1" applyFont="1" applyFill="1" applyBorder="1" applyAlignment="1" applyProtection="1">
      <alignment horizontal="center" vertical="top"/>
    </xf>
    <xf numFmtId="172" fontId="4" fillId="0" borderId="29" xfId="0" applyFont="1" applyFill="1" applyBorder="1" applyAlignment="1">
      <alignment vertical="top" wrapText="1"/>
    </xf>
    <xf numFmtId="180" fontId="8" fillId="0" borderId="29" xfId="0" applyNumberFormat="1" applyFont="1" applyFill="1" applyBorder="1" applyAlignment="1">
      <alignment vertical="top"/>
    </xf>
    <xf numFmtId="172" fontId="11" fillId="0" borderId="29" xfId="0" applyNumberFormat="1" applyFont="1" applyFill="1" applyBorder="1" applyAlignment="1" applyProtection="1">
      <alignment vertical="top"/>
    </xf>
    <xf numFmtId="172" fontId="11" fillId="0" borderId="29" xfId="0" applyFont="1" applyFill="1" applyBorder="1" applyAlignment="1">
      <alignment vertical="top"/>
    </xf>
    <xf numFmtId="175" fontId="11" fillId="0" borderId="29" xfId="0" applyNumberFormat="1" applyFont="1" applyFill="1" applyBorder="1" applyAlignment="1" applyProtection="1">
      <alignment vertical="top"/>
    </xf>
    <xf numFmtId="172" fontId="10" fillId="0" borderId="29" xfId="0" applyNumberFormat="1" applyFont="1" applyFill="1" applyBorder="1" applyAlignment="1" applyProtection="1">
      <alignment vertical="top"/>
    </xf>
    <xf numFmtId="173" fontId="6" fillId="0" borderId="29" xfId="0" applyNumberFormat="1" applyFont="1" applyFill="1" applyBorder="1" applyAlignment="1" applyProtection="1">
      <alignment vertical="top"/>
    </xf>
    <xf numFmtId="172" fontId="6" fillId="0" borderId="29" xfId="0" applyFont="1" applyFill="1" applyBorder="1" applyAlignment="1">
      <alignment vertical="top" wrapText="1"/>
    </xf>
    <xf numFmtId="172" fontId="6" fillId="0" borderId="29" xfId="0" quotePrefix="1" applyFont="1" applyBorder="1" applyAlignment="1">
      <alignment vertical="center"/>
    </xf>
    <xf numFmtId="172" fontId="4" fillId="0" borderId="29" xfId="0" applyFont="1" applyBorder="1" applyAlignment="1">
      <alignment vertical="top" wrapText="1"/>
    </xf>
    <xf numFmtId="172" fontId="4" fillId="0" borderId="30" xfId="0" applyFont="1" applyBorder="1" applyAlignment="1">
      <alignment vertical="center"/>
    </xf>
    <xf numFmtId="172" fontId="4" fillId="0" borderId="31" xfId="0" applyFont="1" applyBorder="1" applyAlignment="1">
      <alignment vertical="center"/>
    </xf>
    <xf numFmtId="172" fontId="11" fillId="0" borderId="30" xfId="0" applyNumberFormat="1" applyFont="1" applyFill="1" applyBorder="1" applyAlignment="1" applyProtection="1">
      <alignment vertical="center"/>
    </xf>
    <xf numFmtId="172" fontId="11" fillId="0" borderId="31" xfId="0" applyNumberFormat="1" applyFont="1" applyFill="1" applyBorder="1" applyAlignment="1" applyProtection="1">
      <alignment vertical="top"/>
    </xf>
    <xf numFmtId="172" fontId="10" fillId="0" borderId="31" xfId="0" applyNumberFormat="1" applyFont="1" applyFill="1" applyBorder="1" applyAlignment="1" applyProtection="1">
      <alignment vertical="top"/>
    </xf>
    <xf numFmtId="172" fontId="10" fillId="0" borderId="31" xfId="0" applyNumberFormat="1" applyFont="1" applyFill="1" applyBorder="1" applyAlignment="1" applyProtection="1">
      <alignment vertical="center"/>
    </xf>
    <xf numFmtId="172" fontId="11" fillId="0" borderId="31" xfId="0" applyNumberFormat="1" applyFont="1" applyFill="1" applyBorder="1" applyAlignment="1" applyProtection="1">
      <alignment vertical="center"/>
    </xf>
    <xf numFmtId="172" fontId="4" fillId="0" borderId="32" xfId="0" applyFont="1" applyBorder="1" applyAlignment="1">
      <alignment vertical="center"/>
    </xf>
    <xf numFmtId="172" fontId="11" fillId="0" borderId="32" xfId="0" applyNumberFormat="1" applyFont="1" applyFill="1" applyBorder="1" applyAlignment="1" applyProtection="1">
      <alignment vertical="center"/>
    </xf>
    <xf numFmtId="172" fontId="11" fillId="0" borderId="11" xfId="0" applyNumberFormat="1" applyFont="1" applyFill="1" applyBorder="1" applyAlignment="1" applyProtection="1">
      <alignment vertical="top"/>
    </xf>
    <xf numFmtId="172" fontId="10" fillId="0" borderId="11" xfId="0" applyNumberFormat="1" applyFont="1" applyFill="1" applyBorder="1" applyAlignment="1" applyProtection="1">
      <alignment vertical="top"/>
    </xf>
    <xf numFmtId="172" fontId="10" fillId="0" borderId="11" xfId="0" applyNumberFormat="1" applyFont="1" applyFill="1" applyBorder="1" applyAlignment="1" applyProtection="1">
      <alignment vertical="center"/>
    </xf>
    <xf numFmtId="172" fontId="9" fillId="0" borderId="29" xfId="0" applyNumberFormat="1" applyFont="1" applyBorder="1" applyAlignment="1" applyProtection="1">
      <alignment vertical="center"/>
    </xf>
    <xf numFmtId="172" fontId="9" fillId="0" borderId="29" xfId="0" applyNumberFormat="1" applyFont="1" applyBorder="1" applyAlignment="1">
      <alignment vertical="top"/>
    </xf>
    <xf numFmtId="172" fontId="9" fillId="0" borderId="29" xfId="0" applyNumberFormat="1" applyFont="1" applyFill="1" applyBorder="1" applyAlignment="1">
      <alignment vertical="top"/>
    </xf>
    <xf numFmtId="0" fontId="62" fillId="22" borderId="10" xfId="0" applyNumberFormat="1" applyFont="1" applyFill="1" applyBorder="1" applyAlignment="1">
      <alignment horizontal="right" vertical="top" wrapText="1"/>
    </xf>
    <xf numFmtId="2" fontId="62" fillId="22" borderId="10" xfId="0" applyNumberFormat="1" applyFont="1" applyFill="1" applyBorder="1" applyAlignment="1">
      <alignment horizontal="right" vertical="top" wrapText="1"/>
    </xf>
    <xf numFmtId="0" fontId="62" fillId="22" borderId="19" xfId="0" applyNumberFormat="1" applyFont="1" applyFill="1" applyBorder="1" applyAlignment="1">
      <alignment horizontal="justify" vertical="top" wrapText="1"/>
    </xf>
    <xf numFmtId="0" fontId="62" fillId="22" borderId="19" xfId="0" applyNumberFormat="1" applyFont="1" applyFill="1" applyBorder="1" applyAlignment="1">
      <alignment horizontal="center" vertical="top" wrapText="1"/>
    </xf>
    <xf numFmtId="0" fontId="2" fillId="22" borderId="10" xfId="0" applyNumberFormat="1" applyFont="1" applyFill="1" applyBorder="1" applyAlignment="1">
      <alignment horizontal="center" vertical="top" wrapText="1"/>
    </xf>
    <xf numFmtId="0" fontId="62" fillId="22" borderId="10" xfId="0" applyNumberFormat="1" applyFont="1" applyFill="1" applyBorder="1" applyAlignment="1">
      <alignment horizontal="center" vertical="top" wrapText="1"/>
    </xf>
    <xf numFmtId="0" fontId="2" fillId="22" borderId="19" xfId="0" applyNumberFormat="1" applyFont="1" applyFill="1" applyBorder="1" applyAlignment="1">
      <alignment horizontal="justify" vertical="top" wrapText="1"/>
    </xf>
    <xf numFmtId="0" fontId="2" fillId="22" borderId="10" xfId="0" applyNumberFormat="1" applyFont="1" applyFill="1" applyBorder="1" applyAlignment="1">
      <alignment horizontal="justify" vertical="top" wrapText="1"/>
    </xf>
    <xf numFmtId="0" fontId="62" fillId="22" borderId="10" xfId="0" applyNumberFormat="1" applyFont="1" applyFill="1" applyBorder="1" applyAlignment="1">
      <alignment horizontal="justify" vertical="top" wrapText="1"/>
    </xf>
    <xf numFmtId="0" fontId="2" fillId="22" borderId="33" xfId="0" applyNumberFormat="1" applyFont="1" applyFill="1" applyBorder="1" applyAlignment="1">
      <alignment vertical="top" wrapText="1"/>
    </xf>
    <xf numFmtId="0" fontId="2" fillId="22" borderId="10" xfId="0" applyNumberFormat="1" applyFont="1" applyFill="1" applyBorder="1" applyAlignment="1">
      <alignment vertical="top" wrapText="1"/>
    </xf>
    <xf numFmtId="0" fontId="2" fillId="22" borderId="10" xfId="0" applyNumberFormat="1" applyFont="1" applyFill="1" applyBorder="1" applyAlignment="1">
      <alignment horizontal="right" vertical="top" wrapText="1"/>
    </xf>
    <xf numFmtId="0" fontId="2" fillId="22" borderId="12" xfId="0" applyNumberFormat="1" applyFont="1" applyFill="1" applyBorder="1" applyAlignment="1">
      <alignment horizontal="center" vertical="top" wrapText="1"/>
    </xf>
    <xf numFmtId="188" fontId="6" fillId="22" borderId="12" xfId="0" applyNumberFormat="1" applyFont="1" applyFill="1" applyBorder="1" applyAlignment="1">
      <alignment horizontal="center" vertical="top" wrapText="1"/>
    </xf>
    <xf numFmtId="187" fontId="6" fillId="22" borderId="12" xfId="0" applyNumberFormat="1" applyFont="1" applyFill="1" applyBorder="1" applyAlignment="1">
      <alignment horizontal="center" vertical="top" wrapText="1"/>
    </xf>
    <xf numFmtId="2" fontId="2" fillId="22" borderId="10" xfId="0" applyNumberFormat="1" applyFont="1" applyFill="1" applyBorder="1" applyAlignment="1">
      <alignment horizontal="right" vertical="top" wrapText="1"/>
    </xf>
    <xf numFmtId="2" fontId="6" fillId="22" borderId="12" xfId="0" applyNumberFormat="1" applyFont="1" applyFill="1" applyBorder="1" applyAlignment="1">
      <alignment horizontal="right" vertical="top" wrapText="1"/>
    </xf>
    <xf numFmtId="0" fontId="6" fillId="0" borderId="10" xfId="0" applyNumberFormat="1" applyFont="1" applyFill="1" applyBorder="1" applyAlignment="1">
      <alignment horizontal="left" vertical="top" wrapText="1"/>
    </xf>
    <xf numFmtId="0" fontId="6" fillId="0" borderId="10" xfId="0" applyNumberFormat="1" applyFont="1" applyFill="1" applyBorder="1" applyAlignment="1">
      <alignment horizontal="right" vertical="center" wrapText="1"/>
    </xf>
    <xf numFmtId="0" fontId="6" fillId="0" borderId="10" xfId="0" applyNumberFormat="1" applyFont="1" applyFill="1" applyBorder="1" applyAlignment="1">
      <alignment horizontal="left" vertical="center" wrapText="1"/>
    </xf>
    <xf numFmtId="179" fontId="2" fillId="22" borderId="10" xfId="28" applyNumberFormat="1" applyFont="1" applyFill="1" applyBorder="1" applyAlignment="1">
      <alignment horizontal="right" vertical="top" wrapText="1"/>
    </xf>
    <xf numFmtId="1" fontId="6" fillId="22" borderId="10" xfId="0" applyNumberFormat="1" applyFont="1" applyFill="1" applyBorder="1" applyAlignment="1">
      <alignment vertical="top" wrapText="1"/>
    </xf>
    <xf numFmtId="179" fontId="2" fillId="22" borderId="12" xfId="28" applyNumberFormat="1" applyFont="1" applyFill="1" applyBorder="1" applyAlignment="1">
      <alignment horizontal="right" vertical="top" wrapText="1"/>
    </xf>
    <xf numFmtId="0" fontId="62" fillId="22" borderId="20" xfId="0" applyNumberFormat="1" applyFont="1" applyFill="1" applyBorder="1" applyAlignment="1">
      <alignment vertical="top"/>
    </xf>
    <xf numFmtId="0" fontId="62" fillId="22" borderId="11" xfId="0" applyNumberFormat="1" applyFont="1" applyFill="1" applyBorder="1" applyAlignment="1">
      <alignment horizontal="center" vertical="top"/>
    </xf>
    <xf numFmtId="0" fontId="2" fillId="22" borderId="12" xfId="0" applyNumberFormat="1" applyFont="1" applyFill="1" applyBorder="1" applyAlignment="1">
      <alignment horizontal="left" vertical="top" wrapText="1"/>
    </xf>
    <xf numFmtId="0" fontId="6" fillId="0" borderId="0" xfId="50" applyNumberFormat="1"/>
    <xf numFmtId="0" fontId="4" fillId="0" borderId="0" xfId="50" applyNumberFormat="1" applyFont="1" applyAlignment="1">
      <alignment horizontal="right"/>
    </xf>
    <xf numFmtId="0" fontId="6" fillId="0" borderId="0" xfId="50" applyNumberFormat="1" applyAlignment="1">
      <alignment horizontal="left"/>
    </xf>
    <xf numFmtId="0" fontId="6" fillId="0" borderId="0" xfId="50" applyNumberFormat="1" applyAlignment="1">
      <alignment horizontal="center"/>
    </xf>
    <xf numFmtId="0" fontId="6" fillId="0" borderId="0" xfId="50" applyNumberFormat="1" applyFont="1"/>
    <xf numFmtId="0" fontId="6" fillId="0" borderId="0" xfId="50" applyNumberFormat="1" applyFont="1" applyAlignment="1">
      <alignment horizontal="right" vertical="center"/>
    </xf>
    <xf numFmtId="0" fontId="4" fillId="0" borderId="10" xfId="50" applyNumberFormat="1" applyFont="1" applyBorder="1" applyAlignment="1">
      <alignment horizontal="center" vertical="top"/>
    </xf>
    <xf numFmtId="0" fontId="4" fillId="0" borderId="31" xfId="50" applyNumberFormat="1" applyFont="1" applyBorder="1" applyAlignment="1">
      <alignment vertical="top"/>
    </xf>
    <xf numFmtId="0" fontId="6" fillId="0" borderId="29" xfId="50" applyNumberFormat="1" applyFont="1" applyBorder="1" applyAlignment="1">
      <alignment vertical="top"/>
    </xf>
    <xf numFmtId="0" fontId="6" fillId="0" borderId="11" xfId="50" applyNumberFormat="1" applyFont="1" applyBorder="1" applyAlignment="1">
      <alignment vertical="top"/>
    </xf>
    <xf numFmtId="0" fontId="6" fillId="0" borderId="0" xfId="50" applyNumberFormat="1" applyAlignment="1">
      <alignment vertical="top"/>
    </xf>
    <xf numFmtId="0" fontId="6" fillId="0" borderId="0" xfId="50" applyNumberFormat="1" applyAlignment="1">
      <alignment horizontal="center" vertical="top"/>
    </xf>
    <xf numFmtId="2" fontId="6" fillId="0" borderId="0" xfId="50" applyNumberFormat="1" applyAlignment="1">
      <alignment vertical="top"/>
    </xf>
    <xf numFmtId="0" fontId="6" fillId="0" borderId="10" xfId="50" applyNumberFormat="1" applyFont="1" applyFill="1" applyBorder="1" applyAlignment="1">
      <alignment horizontal="center" vertical="top"/>
    </xf>
    <xf numFmtId="0" fontId="6" fillId="0" borderId="10" xfId="50" applyNumberFormat="1" applyFont="1" applyBorder="1" applyAlignment="1">
      <alignment horizontal="center" vertical="top"/>
    </xf>
    <xf numFmtId="2" fontId="6" fillId="0" borderId="0" xfId="50" applyNumberFormat="1"/>
    <xf numFmtId="1" fontId="6" fillId="0" borderId="0" xfId="50" applyNumberFormat="1"/>
    <xf numFmtId="1" fontId="6" fillId="22" borderId="10" xfId="50" applyNumberFormat="1" applyFont="1" applyFill="1" applyBorder="1" applyAlignment="1">
      <alignment vertical="top"/>
    </xf>
    <xf numFmtId="0" fontId="6" fillId="0" borderId="0" xfId="50" applyNumberFormat="1" applyBorder="1"/>
    <xf numFmtId="2" fontId="6" fillId="0" borderId="0" xfId="50" applyNumberFormat="1" applyFont="1" applyBorder="1"/>
    <xf numFmtId="2" fontId="4" fillId="0" borderId="10" xfId="50" applyNumberFormat="1" applyFont="1" applyBorder="1" applyAlignment="1">
      <alignment vertical="top"/>
    </xf>
    <xf numFmtId="2" fontId="6" fillId="0" borderId="10" xfId="50" applyNumberFormat="1" applyFont="1" applyBorder="1" applyAlignment="1">
      <alignment vertical="top"/>
    </xf>
    <xf numFmtId="0" fontId="4" fillId="0" borderId="13" xfId="50" applyNumberFormat="1" applyFont="1" applyBorder="1" applyAlignment="1">
      <alignment horizontal="center" vertical="top"/>
    </xf>
    <xf numFmtId="2" fontId="4" fillId="0" borderId="13" xfId="50" applyNumberFormat="1" applyFont="1" applyBorder="1" applyAlignment="1">
      <alignment vertical="top"/>
    </xf>
    <xf numFmtId="2" fontId="4" fillId="0" borderId="0" xfId="50" applyNumberFormat="1" applyFont="1" applyBorder="1"/>
    <xf numFmtId="0" fontId="6" fillId="0" borderId="28" xfId="50" applyNumberFormat="1" applyBorder="1"/>
    <xf numFmtId="0" fontId="4" fillId="21" borderId="10" xfId="0" applyNumberFormat="1" applyFont="1" applyFill="1" applyBorder="1" applyAlignment="1">
      <alignment horizontal="left" vertical="top" wrapText="1"/>
    </xf>
    <xf numFmtId="0" fontId="6" fillId="22" borderId="10" xfId="50" applyNumberFormat="1" applyFont="1" applyFill="1" applyBorder="1" applyAlignment="1">
      <alignment horizontal="center" vertical="top"/>
    </xf>
    <xf numFmtId="2" fontId="6" fillId="0" borderId="0" xfId="50" applyNumberFormat="1" applyFont="1" applyBorder="1" applyAlignment="1">
      <alignment vertical="top"/>
    </xf>
    <xf numFmtId="0" fontId="6" fillId="0" borderId="10" xfId="50" applyNumberFormat="1" applyBorder="1" applyAlignment="1">
      <alignment vertical="top"/>
    </xf>
    <xf numFmtId="0" fontId="6" fillId="0" borderId="0" xfId="50" applyNumberFormat="1" applyBorder="1" applyAlignment="1">
      <alignment vertical="top"/>
    </xf>
    <xf numFmtId="0" fontId="4" fillId="0" borderId="29" xfId="50" applyNumberFormat="1" applyFont="1" applyBorder="1" applyAlignment="1">
      <alignment vertical="top"/>
    </xf>
    <xf numFmtId="0" fontId="4" fillId="0" borderId="11" xfId="50" applyNumberFormat="1" applyFont="1" applyBorder="1" applyAlignment="1">
      <alignment vertical="top"/>
    </xf>
    <xf numFmtId="2" fontId="6" fillId="22" borderId="10" xfId="50" applyNumberFormat="1" applyFont="1" applyFill="1" applyBorder="1" applyAlignment="1">
      <alignment vertical="top"/>
    </xf>
    <xf numFmtId="2" fontId="4" fillId="22" borderId="10" xfId="50" applyNumberFormat="1" applyFont="1" applyFill="1" applyBorder="1" applyAlignment="1">
      <alignment vertical="top"/>
    </xf>
    <xf numFmtId="172" fontId="6" fillId="0" borderId="10" xfId="0" applyFont="1" applyBorder="1" applyAlignment="1">
      <alignment horizontal="left" vertical="top" wrapText="1"/>
    </xf>
    <xf numFmtId="9" fontId="0" fillId="0" borderId="0" xfId="55" applyFont="1" applyBorder="1"/>
    <xf numFmtId="9" fontId="0" fillId="0" borderId="0" xfId="55" applyFont="1" applyFill="1" applyBorder="1"/>
    <xf numFmtId="9" fontId="36" fillId="0" borderId="0" xfId="55" applyFont="1" applyBorder="1"/>
    <xf numFmtId="9" fontId="6" fillId="0" borderId="29" xfId="55" applyFont="1" applyBorder="1" applyAlignment="1" applyProtection="1">
      <alignment horizontal="right"/>
    </xf>
    <xf numFmtId="10" fontId="6" fillId="0" borderId="0" xfId="55" applyNumberFormat="1" applyFont="1" applyFill="1" applyBorder="1" applyAlignment="1" applyProtection="1"/>
    <xf numFmtId="10" fontId="6" fillId="0" borderId="0" xfId="55" applyNumberFormat="1" applyFont="1"/>
    <xf numFmtId="10" fontId="6" fillId="0" borderId="0" xfId="55" applyNumberFormat="1" applyFont="1" applyBorder="1" applyAlignment="1" applyProtection="1">
      <alignment horizontal="right"/>
    </xf>
    <xf numFmtId="172" fontId="6" fillId="0" borderId="0" xfId="46" applyBorder="1"/>
    <xf numFmtId="172" fontId="6" fillId="0" borderId="0" xfId="46"/>
    <xf numFmtId="172" fontId="5" fillId="0" borderId="0" xfId="46" applyFont="1"/>
    <xf numFmtId="172" fontId="8" fillId="0" borderId="0" xfId="46" applyNumberFormat="1" applyFont="1" applyAlignment="1" applyProtection="1"/>
    <xf numFmtId="172" fontId="5" fillId="0" borderId="0" xfId="46" applyNumberFormat="1" applyFont="1" applyAlignment="1" applyProtection="1"/>
    <xf numFmtId="172" fontId="5" fillId="0" borderId="0" xfId="46" applyFont="1" applyAlignment="1">
      <alignment horizontal="right"/>
    </xf>
    <xf numFmtId="172" fontId="7" fillId="0" borderId="0" xfId="46" applyFont="1"/>
    <xf numFmtId="172" fontId="4" fillId="0" borderId="0" xfId="46" applyFont="1" applyAlignment="1"/>
    <xf numFmtId="172" fontId="36" fillId="0" borderId="0" xfId="46" applyFont="1" applyBorder="1"/>
    <xf numFmtId="172" fontId="6" fillId="0" borderId="0" xfId="46" applyFont="1" applyBorder="1"/>
    <xf numFmtId="172" fontId="6" fillId="0" borderId="0" xfId="46" applyNumberFormat="1" applyAlignment="1" applyProtection="1">
      <alignment horizontal="center"/>
    </xf>
    <xf numFmtId="172" fontId="6" fillId="0" borderId="0" xfId="46" applyNumberFormat="1" applyProtection="1"/>
    <xf numFmtId="172" fontId="4" fillId="0" borderId="0" xfId="46" applyNumberFormat="1" applyFont="1" applyAlignment="1" applyProtection="1"/>
    <xf numFmtId="172" fontId="38" fillId="0" borderId="0" xfId="46" applyFont="1" applyProtection="1"/>
    <xf numFmtId="172" fontId="39" fillId="0" borderId="0" xfId="46" applyFont="1" applyBorder="1" applyProtection="1"/>
    <xf numFmtId="176" fontId="38" fillId="0" borderId="0" xfId="46" applyNumberFormat="1" applyFont="1" applyBorder="1" applyProtection="1"/>
    <xf numFmtId="172" fontId="6" fillId="0" borderId="34" xfId="46" applyNumberFormat="1" applyBorder="1" applyProtection="1"/>
    <xf numFmtId="172" fontId="6" fillId="0" borderId="34" xfId="46" applyNumberFormat="1" applyBorder="1" applyAlignment="1" applyProtection="1">
      <alignment horizontal="center"/>
    </xf>
    <xf numFmtId="172" fontId="6" fillId="0" borderId="34" xfId="46" applyBorder="1"/>
    <xf numFmtId="172" fontId="40" fillId="0" borderId="0" xfId="46" applyFont="1" applyProtection="1"/>
    <xf numFmtId="177" fontId="5" fillId="0" borderId="0" xfId="46" applyNumberFormat="1" applyFont="1"/>
    <xf numFmtId="172" fontId="38" fillId="0" borderId="0" xfId="46" applyFont="1" applyAlignment="1" applyProtection="1">
      <alignment horizontal="left"/>
    </xf>
    <xf numFmtId="2" fontId="6" fillId="0" borderId="0" xfId="46" applyNumberFormat="1" applyFont="1" applyBorder="1"/>
    <xf numFmtId="172" fontId="6" fillId="0" borderId="0" xfId="46" applyNumberFormat="1" applyAlignment="1" applyProtection="1">
      <alignment horizontal="fill"/>
    </xf>
    <xf numFmtId="172" fontId="6" fillId="0" borderId="0" xfId="46" applyNumberFormat="1"/>
    <xf numFmtId="172" fontId="34" fillId="0" borderId="10" xfId="46" applyFont="1" applyBorder="1" applyProtection="1"/>
    <xf numFmtId="173" fontId="6" fillId="0" borderId="10" xfId="46" applyNumberFormat="1" applyFont="1" applyBorder="1" applyAlignment="1" applyProtection="1">
      <alignment horizontal="center"/>
    </xf>
    <xf numFmtId="173" fontId="5" fillId="0" borderId="0" xfId="46" applyNumberFormat="1" applyFont="1" applyBorder="1" applyAlignment="1" applyProtection="1">
      <alignment horizontal="right"/>
    </xf>
    <xf numFmtId="0" fontId="6" fillId="0" borderId="0" xfId="46" applyNumberFormat="1"/>
    <xf numFmtId="0" fontId="36" fillId="0" borderId="0" xfId="46" applyNumberFormat="1" applyFont="1" applyBorder="1"/>
    <xf numFmtId="0" fontId="6" fillId="0" borderId="0" xfId="46" applyNumberFormat="1" applyFont="1" applyBorder="1"/>
    <xf numFmtId="0" fontId="6" fillId="0" borderId="0" xfId="46" applyNumberFormat="1" applyBorder="1"/>
    <xf numFmtId="172" fontId="6" fillId="0" borderId="0" xfId="46" applyNumberFormat="1" applyBorder="1" applyProtection="1"/>
    <xf numFmtId="172" fontId="34" fillId="0" borderId="29" xfId="46" applyFont="1" applyBorder="1" applyProtection="1"/>
    <xf numFmtId="173" fontId="6" fillId="0" borderId="29" xfId="46" applyNumberFormat="1" applyFont="1" applyBorder="1" applyAlignment="1" applyProtection="1">
      <alignment horizontal="right"/>
    </xf>
    <xf numFmtId="9" fontId="5" fillId="0" borderId="0" xfId="55" applyFont="1" applyBorder="1" applyAlignment="1" applyProtection="1">
      <alignment horizontal="right"/>
    </xf>
    <xf numFmtId="10" fontId="6" fillId="0" borderId="0" xfId="55" applyNumberFormat="1" applyFont="1" applyBorder="1"/>
    <xf numFmtId="172" fontId="34" fillId="0" borderId="0" xfId="46" applyFont="1" applyProtection="1"/>
    <xf numFmtId="2" fontId="34" fillId="0" borderId="0" xfId="46" applyNumberFormat="1" applyFont="1" applyProtection="1"/>
    <xf numFmtId="0" fontId="28" fillId="0" borderId="0" xfId="46" applyNumberFormat="1" applyFont="1"/>
    <xf numFmtId="0" fontId="28" fillId="0" borderId="0" xfId="46" applyNumberFormat="1" applyFont="1" applyBorder="1"/>
    <xf numFmtId="172" fontId="6" fillId="0" borderId="0" xfId="46" applyFont="1" applyAlignment="1">
      <alignment horizontal="center"/>
    </xf>
    <xf numFmtId="172" fontId="6" fillId="0" borderId="0" xfId="46" applyNumberFormat="1" applyFont="1" applyProtection="1"/>
    <xf numFmtId="172" fontId="38" fillId="0" borderId="0" xfId="46" applyNumberFormat="1" applyFont="1" applyProtection="1"/>
    <xf numFmtId="172" fontId="34" fillId="0" borderId="0" xfId="46" applyNumberFormat="1" applyFont="1" applyProtection="1"/>
    <xf numFmtId="172" fontId="6" fillId="0" borderId="29" xfId="46" applyNumberFormat="1" applyBorder="1" applyProtection="1"/>
    <xf numFmtId="10" fontId="38" fillId="0" borderId="0" xfId="55" applyNumberFormat="1" applyFont="1" applyProtection="1"/>
    <xf numFmtId="177" fontId="38" fillId="0" borderId="0" xfId="46" applyNumberFormat="1" applyFont="1" applyProtection="1"/>
    <xf numFmtId="2" fontId="6" fillId="0" borderId="0" xfId="46" applyNumberFormat="1" applyBorder="1"/>
    <xf numFmtId="172" fontId="6" fillId="0" borderId="0" xfId="46" applyNumberFormat="1" applyFont="1" applyAlignment="1" applyProtection="1">
      <alignment horizontal="fill"/>
    </xf>
    <xf numFmtId="173" fontId="6" fillId="0" borderId="0" xfId="46" applyNumberFormat="1" applyAlignment="1" applyProtection="1">
      <alignment horizontal="fill"/>
    </xf>
    <xf numFmtId="173" fontId="6" fillId="0" borderId="0" xfId="46" applyNumberFormat="1"/>
    <xf numFmtId="172" fontId="6" fillId="0" borderId="0" xfId="46" applyFont="1"/>
    <xf numFmtId="172" fontId="4" fillId="0" borderId="0" xfId="46" applyFont="1"/>
    <xf numFmtId="172" fontId="34" fillId="0" borderId="34" xfId="46" applyFont="1" applyBorder="1" applyProtection="1"/>
    <xf numFmtId="172" fontId="34" fillId="0" borderId="34" xfId="46" applyNumberFormat="1" applyFont="1" applyBorder="1" applyProtection="1"/>
    <xf numFmtId="172" fontId="38" fillId="0" borderId="0" xfId="46" applyNumberFormat="1" applyFont="1" applyBorder="1" applyProtection="1"/>
    <xf numFmtId="172" fontId="4" fillId="0" borderId="0" xfId="46" applyFont="1" applyBorder="1"/>
    <xf numFmtId="172" fontId="34" fillId="0" borderId="0" xfId="46" applyFont="1" applyBorder="1" applyProtection="1"/>
    <xf numFmtId="172" fontId="34" fillId="0" borderId="0" xfId="46" applyNumberFormat="1" applyFont="1" applyBorder="1" applyProtection="1"/>
    <xf numFmtId="2" fontId="4" fillId="0" borderId="0" xfId="46" applyNumberFormat="1" applyFont="1" applyBorder="1"/>
    <xf numFmtId="172" fontId="37" fillId="0" borderId="0" xfId="46" applyFont="1" applyProtection="1"/>
    <xf numFmtId="172" fontId="6" fillId="0" borderId="0" xfId="46" applyFont="1" applyAlignment="1">
      <alignment horizontal="right"/>
    </xf>
    <xf numFmtId="172" fontId="4" fillId="0" borderId="0" xfId="46" applyFont="1" applyFill="1" applyBorder="1"/>
    <xf numFmtId="9" fontId="37" fillId="0" borderId="0" xfId="46" applyNumberFormat="1" applyFont="1" applyProtection="1"/>
    <xf numFmtId="177" fontId="6" fillId="0" borderId="0" xfId="46" applyNumberFormat="1" applyFont="1"/>
    <xf numFmtId="172" fontId="6" fillId="0" borderId="0" xfId="46" applyNumberFormat="1" applyFont="1"/>
    <xf numFmtId="172" fontId="5" fillId="0" borderId="0" xfId="46" applyNumberFormat="1" applyFont="1"/>
    <xf numFmtId="172" fontId="34" fillId="0" borderId="31" xfId="46" applyFont="1" applyBorder="1" applyProtection="1"/>
    <xf numFmtId="173" fontId="34" fillId="0" borderId="29" xfId="46" applyNumberFormat="1" applyFont="1" applyBorder="1" applyAlignment="1" applyProtection="1">
      <alignment horizontal="center"/>
    </xf>
    <xf numFmtId="173" fontId="34" fillId="0" borderId="11" xfId="46" applyNumberFormat="1" applyFont="1" applyBorder="1" applyAlignment="1" applyProtection="1">
      <alignment horizontal="center"/>
    </xf>
    <xf numFmtId="173" fontId="38" fillId="0" borderId="0" xfId="46" applyNumberFormat="1" applyFont="1" applyBorder="1" applyProtection="1"/>
    <xf numFmtId="172" fontId="4" fillId="0" borderId="0" xfId="46" applyFont="1" applyBorder="1" applyAlignment="1">
      <alignment horizontal="center"/>
    </xf>
    <xf numFmtId="172" fontId="5" fillId="0" borderId="29" xfId="46" applyFont="1" applyBorder="1"/>
    <xf numFmtId="172" fontId="34" fillId="0" borderId="29" xfId="46" applyNumberFormat="1" applyFont="1" applyBorder="1" applyProtection="1"/>
    <xf numFmtId="172" fontId="6" fillId="0" borderId="0" xfId="46" applyNumberFormat="1" applyFont="1" applyBorder="1" applyProtection="1"/>
    <xf numFmtId="172" fontId="7" fillId="0" borderId="0" xfId="46" applyFont="1" applyBorder="1"/>
    <xf numFmtId="172" fontId="6" fillId="0" borderId="0" xfId="46" applyNumberFormat="1" applyBorder="1"/>
    <xf numFmtId="172" fontId="6" fillId="0" borderId="0" xfId="46" applyNumberFormat="1" applyBorder="1" applyAlignment="1" applyProtection="1">
      <alignment horizontal="center"/>
    </xf>
    <xf numFmtId="172" fontId="6" fillId="0" borderId="0" xfId="46" quotePrefix="1" applyNumberFormat="1" applyBorder="1" applyProtection="1"/>
    <xf numFmtId="9" fontId="5" fillId="0" borderId="0" xfId="55" applyNumberFormat="1" applyFont="1"/>
    <xf numFmtId="172" fontId="34" fillId="0" borderId="0" xfId="46" applyFont="1" applyAlignment="1" applyProtection="1">
      <alignment horizontal="right"/>
    </xf>
    <xf numFmtId="172" fontId="6" fillId="0" borderId="0" xfId="46" applyNumberFormat="1" applyBorder="1" applyAlignment="1" applyProtection="1">
      <alignment horizontal="fill"/>
    </xf>
    <xf numFmtId="10" fontId="5" fillId="0" borderId="0" xfId="55" applyNumberFormat="1" applyFont="1"/>
    <xf numFmtId="9" fontId="5" fillId="0" borderId="0" xfId="55" applyFont="1"/>
    <xf numFmtId="172" fontId="6" fillId="0" borderId="0" xfId="46" applyFont="1" applyBorder="1" applyAlignment="1">
      <alignment horizontal="center"/>
    </xf>
    <xf numFmtId="172" fontId="34" fillId="0" borderId="35" xfId="46" applyFont="1" applyBorder="1" applyProtection="1"/>
    <xf numFmtId="172" fontId="34" fillId="0" borderId="36" xfId="46" applyNumberFormat="1" applyFont="1" applyBorder="1" applyProtection="1"/>
    <xf numFmtId="172" fontId="34" fillId="0" borderId="37" xfId="46" applyFont="1" applyBorder="1" applyProtection="1"/>
    <xf numFmtId="172" fontId="34" fillId="0" borderId="38" xfId="46" applyNumberFormat="1" applyFont="1" applyBorder="1" applyProtection="1"/>
    <xf numFmtId="172" fontId="5" fillId="0" borderId="10" xfId="46" applyFont="1" applyBorder="1"/>
    <xf numFmtId="172" fontId="6" fillId="0" borderId="10" xfId="46" applyFont="1" applyBorder="1"/>
    <xf numFmtId="173" fontId="5" fillId="0" borderId="0" xfId="46" applyNumberFormat="1" applyFont="1" applyBorder="1" applyAlignment="1" applyProtection="1">
      <alignment horizontal="left"/>
    </xf>
    <xf numFmtId="172" fontId="6" fillId="0" borderId="0" xfId="46" applyAlignment="1">
      <alignment horizontal="center"/>
    </xf>
    <xf numFmtId="172" fontId="8" fillId="0" borderId="0" xfId="46" applyFont="1" applyAlignment="1">
      <alignment horizontal="right"/>
    </xf>
    <xf numFmtId="173" fontId="6" fillId="0" borderId="0" xfId="46" applyNumberFormat="1" applyFont="1" applyBorder="1" applyAlignment="1" applyProtection="1">
      <alignment horizontal="right"/>
    </xf>
    <xf numFmtId="173" fontId="5" fillId="0" borderId="0" xfId="46" applyNumberFormat="1" applyFont="1"/>
    <xf numFmtId="172" fontId="6" fillId="0" borderId="0" xfId="46" applyNumberFormat="1" applyFont="1" applyBorder="1" applyAlignment="1" applyProtection="1"/>
    <xf numFmtId="172" fontId="5" fillId="0" borderId="0" xfId="46" applyNumberFormat="1" applyFont="1" applyBorder="1" applyAlignment="1" applyProtection="1"/>
    <xf numFmtId="173" fontId="5" fillId="0" borderId="0" xfId="46" applyNumberFormat="1" applyFont="1" applyFill="1" applyBorder="1"/>
    <xf numFmtId="172" fontId="6" fillId="0" borderId="0" xfId="46" applyFont="1" applyFill="1" applyBorder="1"/>
    <xf numFmtId="2" fontId="6" fillId="0" borderId="0" xfId="46" applyNumberFormat="1" applyFont="1" applyBorder="1" applyAlignment="1"/>
    <xf numFmtId="172" fontId="5" fillId="0" borderId="0" xfId="46" applyFont="1" applyBorder="1" applyAlignment="1"/>
    <xf numFmtId="172" fontId="6" fillId="0" borderId="0" xfId="46" applyFont="1" applyBorder="1" applyAlignment="1"/>
    <xf numFmtId="2" fontId="6" fillId="0" borderId="0" xfId="46" applyNumberFormat="1" applyFont="1" applyBorder="1" applyAlignment="1" applyProtection="1"/>
    <xf numFmtId="2" fontId="6" fillId="0" borderId="0" xfId="46" applyNumberFormat="1" applyFont="1"/>
    <xf numFmtId="173" fontId="5" fillId="0" borderId="0" xfId="46" applyNumberFormat="1" applyFont="1" applyAlignment="1">
      <alignment horizontal="right"/>
    </xf>
    <xf numFmtId="173" fontId="5" fillId="0" borderId="34" xfId="46" applyNumberFormat="1" applyFont="1" applyBorder="1"/>
    <xf numFmtId="172" fontId="6" fillId="0" borderId="34" xfId="46" applyFont="1" applyBorder="1"/>
    <xf numFmtId="10" fontId="6" fillId="0" borderId="34" xfId="55" applyNumberFormat="1" applyFont="1" applyBorder="1"/>
    <xf numFmtId="172" fontId="6" fillId="0" borderId="34" xfId="46" applyFont="1" applyBorder="1" applyAlignment="1">
      <alignment horizontal="center"/>
    </xf>
    <xf numFmtId="173" fontId="5" fillId="0" borderId="0" xfId="46" applyNumberFormat="1" applyFont="1" applyBorder="1" applyAlignment="1" applyProtection="1">
      <alignment horizontal="center"/>
    </xf>
    <xf numFmtId="173" fontId="6" fillId="0" borderId="0" xfId="46" applyNumberFormat="1" applyFont="1" applyBorder="1" applyAlignment="1" applyProtection="1">
      <alignment horizontal="left"/>
    </xf>
    <xf numFmtId="173" fontId="6" fillId="0" borderId="0" xfId="46" applyNumberFormat="1" applyFont="1" applyBorder="1" applyAlignment="1" applyProtection="1">
      <alignment horizontal="center"/>
    </xf>
    <xf numFmtId="172" fontId="6" fillId="0" borderId="0" xfId="46" applyFont="1" applyBorder="1" applyAlignment="1" applyProtection="1">
      <alignment horizontal="right"/>
    </xf>
    <xf numFmtId="172" fontId="6" fillId="0" borderId="0" xfId="47" applyNumberFormat="1"/>
    <xf numFmtId="172" fontId="5" fillId="0" borderId="0" xfId="47" applyNumberFormat="1" applyFont="1"/>
    <xf numFmtId="172" fontId="5" fillId="0" borderId="0" xfId="47" applyNumberFormat="1" applyFont="1" applyBorder="1" applyAlignment="1">
      <alignment horizontal="center"/>
    </xf>
    <xf numFmtId="1" fontId="5" fillId="0" borderId="39" xfId="47" applyNumberFormat="1" applyFont="1" applyBorder="1" applyAlignment="1">
      <alignment horizontal="center"/>
    </xf>
    <xf numFmtId="172" fontId="5" fillId="0" borderId="12" xfId="47" applyNumberFormat="1" applyFont="1" applyBorder="1" applyAlignment="1" applyProtection="1">
      <alignment horizontal="left"/>
    </xf>
    <xf numFmtId="172" fontId="5" fillId="0" borderId="28" xfId="47" applyNumberFormat="1" applyFont="1" applyBorder="1" applyAlignment="1" applyProtection="1">
      <alignment horizontal="center"/>
    </xf>
    <xf numFmtId="172" fontId="5" fillId="0" borderId="12" xfId="47" applyNumberFormat="1" applyFont="1" applyBorder="1" applyAlignment="1">
      <alignment horizontal="right"/>
    </xf>
    <xf numFmtId="172" fontId="5" fillId="0" borderId="30" xfId="47" applyNumberFormat="1" applyFont="1" applyBorder="1" applyAlignment="1">
      <alignment horizontal="center"/>
    </xf>
    <xf numFmtId="172" fontId="8" fillId="0" borderId="33" xfId="47" applyNumberFormat="1" applyFont="1" applyBorder="1"/>
    <xf numFmtId="172" fontId="5" fillId="0" borderId="0" xfId="47" applyNumberFormat="1" applyFont="1" applyBorder="1"/>
    <xf numFmtId="172" fontId="5" fillId="0" borderId="33" xfId="47" applyNumberFormat="1" applyFont="1" applyBorder="1" applyAlignment="1">
      <alignment horizontal="right"/>
    </xf>
    <xf numFmtId="1" fontId="5" fillId="0" borderId="30" xfId="47" applyNumberFormat="1" applyFont="1" applyBorder="1" applyAlignment="1">
      <alignment horizontal="center"/>
    </xf>
    <xf numFmtId="172" fontId="5" fillId="0" borderId="33" xfId="47" applyNumberFormat="1" applyFont="1" applyBorder="1" applyAlignment="1" applyProtection="1">
      <alignment horizontal="left"/>
    </xf>
    <xf numFmtId="172" fontId="5" fillId="0" borderId="0" xfId="47" applyNumberFormat="1" applyFont="1" applyBorder="1" applyAlignment="1" applyProtection="1">
      <alignment horizontal="center"/>
    </xf>
    <xf numFmtId="2" fontId="5" fillId="0" borderId="33" xfId="47" applyNumberFormat="1" applyFont="1" applyBorder="1" applyAlignment="1" applyProtection="1">
      <alignment horizontal="right"/>
    </xf>
    <xf numFmtId="172" fontId="5" fillId="0" borderId="33" xfId="47" applyNumberFormat="1" applyFont="1" applyFill="1" applyBorder="1" applyAlignment="1" applyProtection="1">
      <alignment horizontal="left"/>
    </xf>
    <xf numFmtId="10" fontId="5" fillId="0" borderId="33" xfId="55" applyNumberFormat="1" applyFont="1" applyBorder="1" applyAlignment="1" applyProtection="1">
      <alignment horizontal="right"/>
    </xf>
    <xf numFmtId="1" fontId="5" fillId="0" borderId="40" xfId="47" applyNumberFormat="1" applyFont="1" applyBorder="1" applyAlignment="1">
      <alignment horizontal="center"/>
    </xf>
    <xf numFmtId="172" fontId="5" fillId="0" borderId="13" xfId="47" applyNumberFormat="1" applyFont="1" applyBorder="1" applyAlignment="1" applyProtection="1">
      <alignment horizontal="left"/>
    </xf>
    <xf numFmtId="172" fontId="5" fillId="0" borderId="34" xfId="47" applyNumberFormat="1" applyFont="1" applyBorder="1" applyAlignment="1" applyProtection="1">
      <alignment horizontal="center"/>
    </xf>
    <xf numFmtId="2" fontId="5" fillId="0" borderId="13" xfId="47" applyNumberFormat="1" applyFont="1" applyBorder="1" applyAlignment="1" applyProtection="1">
      <alignment horizontal="right"/>
    </xf>
    <xf numFmtId="172" fontId="6" fillId="0" borderId="0" xfId="47" applyNumberFormat="1" applyAlignment="1">
      <alignment vertical="top" wrapText="1"/>
    </xf>
    <xf numFmtId="172" fontId="6" fillId="0" borderId="10" xfId="47" applyNumberFormat="1" applyBorder="1"/>
    <xf numFmtId="172" fontId="6" fillId="0" borderId="10" xfId="46" applyFont="1" applyFill="1" applyBorder="1" applyAlignment="1">
      <alignment horizontal="center"/>
    </xf>
    <xf numFmtId="172" fontId="6" fillId="0" borderId="10" xfId="46" applyFont="1" applyFill="1" applyBorder="1"/>
    <xf numFmtId="10" fontId="6" fillId="0" borderId="10" xfId="55" applyNumberFormat="1" applyFont="1" applyFill="1" applyBorder="1"/>
    <xf numFmtId="172" fontId="6" fillId="0" borderId="0" xfId="46" applyFont="1" applyFill="1"/>
    <xf numFmtId="172" fontId="6" fillId="0" borderId="0" xfId="47" applyNumberFormat="1" applyAlignment="1">
      <alignment vertical="top"/>
    </xf>
    <xf numFmtId="172" fontId="6" fillId="0" borderId="0" xfId="0" applyNumberFormat="1" applyFont="1" applyBorder="1" applyAlignment="1" applyProtection="1">
      <alignment horizontal="center" vertical="center"/>
    </xf>
    <xf numFmtId="173" fontId="6" fillId="22" borderId="10" xfId="46" applyNumberFormat="1" applyFont="1" applyFill="1" applyBorder="1" applyAlignment="1" applyProtection="1">
      <alignment horizontal="center"/>
    </xf>
    <xf numFmtId="190" fontId="6" fillId="0" borderId="0" xfId="55" applyNumberFormat="1" applyFont="1" applyBorder="1" applyAlignment="1" applyProtection="1">
      <alignment vertical="center"/>
    </xf>
    <xf numFmtId="0" fontId="62" fillId="0" borderId="11" xfId="0" applyNumberFormat="1" applyFont="1" applyFill="1" applyBorder="1" applyAlignment="1">
      <alignment vertical="top" wrapText="1"/>
    </xf>
    <xf numFmtId="172" fontId="6" fillId="22" borderId="10" xfId="0" applyNumberFormat="1" applyFont="1" applyFill="1" applyBorder="1" applyAlignment="1">
      <alignment horizontal="right" vertical="top" wrapText="1"/>
    </xf>
    <xf numFmtId="172" fontId="6" fillId="22" borderId="29" xfId="0" applyFont="1" applyFill="1" applyBorder="1" applyAlignment="1">
      <alignment vertical="top" wrapText="1"/>
    </xf>
    <xf numFmtId="172" fontId="6" fillId="22" borderId="0" xfId="0" applyFont="1" applyFill="1" applyBorder="1" applyAlignment="1">
      <alignment vertical="top" wrapText="1"/>
    </xf>
    <xf numFmtId="172" fontId="4" fillId="0" borderId="29" xfId="0" applyFont="1" applyBorder="1" applyAlignment="1">
      <alignment horizontal="center" vertical="center"/>
    </xf>
    <xf numFmtId="172" fontId="4" fillId="0" borderId="11" xfId="0" applyFont="1" applyBorder="1" applyAlignment="1">
      <alignment horizontal="center" vertical="center"/>
    </xf>
    <xf numFmtId="172" fontId="4" fillId="0" borderId="0" xfId="0" applyFont="1" applyBorder="1" applyAlignment="1">
      <alignment horizontal="center" vertical="center"/>
    </xf>
    <xf numFmtId="172" fontId="6" fillId="0" borderId="0" xfId="0" applyFont="1" applyBorder="1" applyAlignment="1">
      <alignment horizontal="center" vertical="center"/>
    </xf>
    <xf numFmtId="172" fontId="5" fillId="0" borderId="10" xfId="0" applyFont="1" applyBorder="1" applyAlignment="1">
      <alignment vertical="top" wrapText="1"/>
    </xf>
    <xf numFmtId="173" fontId="5" fillId="0" borderId="10" xfId="0" applyNumberFormat="1" applyFont="1" applyBorder="1" applyAlignment="1" applyProtection="1">
      <alignment vertical="center"/>
    </xf>
    <xf numFmtId="172" fontId="8" fillId="0" borderId="10" xfId="0" applyFont="1" applyBorder="1" applyAlignment="1">
      <alignment vertical="top" wrapText="1"/>
    </xf>
    <xf numFmtId="172" fontId="5" fillId="0" borderId="10" xfId="0" applyFont="1" applyBorder="1" applyAlignment="1">
      <alignment vertical="center"/>
    </xf>
    <xf numFmtId="172" fontId="8" fillId="0" borderId="10" xfId="0" applyNumberFormat="1" applyFont="1" applyBorder="1" applyAlignment="1" applyProtection="1">
      <alignment vertical="center"/>
    </xf>
    <xf numFmtId="172" fontId="9" fillId="0" borderId="31" xfId="0" applyNumberFormat="1" applyFont="1" applyBorder="1" applyAlignment="1">
      <alignment vertical="top"/>
    </xf>
    <xf numFmtId="172" fontId="4" fillId="0" borderId="33" xfId="0" applyFont="1" applyBorder="1" applyAlignment="1">
      <alignment horizontal="center" vertical="center"/>
    </xf>
    <xf numFmtId="172" fontId="4" fillId="0" borderId="13" xfId="0" applyFont="1" applyBorder="1" applyAlignment="1">
      <alignment horizontal="center" vertical="center"/>
    </xf>
    <xf numFmtId="172" fontId="4" fillId="0" borderId="32" xfId="0" applyFont="1" applyBorder="1" applyAlignment="1">
      <alignment horizontal="center" vertical="center"/>
    </xf>
    <xf numFmtId="172" fontId="9" fillId="0" borderId="11" xfId="0" applyNumberFormat="1" applyFont="1" applyBorder="1" applyAlignment="1">
      <alignment vertical="top"/>
    </xf>
    <xf numFmtId="172" fontId="9" fillId="0" borderId="32" xfId="0" applyNumberFormat="1" applyFont="1" applyBorder="1" applyAlignment="1">
      <alignment vertical="top"/>
    </xf>
    <xf numFmtId="172" fontId="9" fillId="0" borderId="32" xfId="0" applyNumberFormat="1" applyFont="1" applyBorder="1" applyAlignment="1" applyProtection="1">
      <alignment vertical="center"/>
    </xf>
    <xf numFmtId="172" fontId="9" fillId="0" borderId="11" xfId="0" applyNumberFormat="1" applyFont="1" applyBorder="1" applyAlignment="1" applyProtection="1">
      <alignment vertical="center"/>
    </xf>
    <xf numFmtId="172" fontId="8" fillId="0" borderId="10" xfId="0" applyNumberFormat="1" applyFont="1" applyBorder="1" applyAlignment="1" applyProtection="1">
      <alignment vertical="center" wrapText="1"/>
    </xf>
    <xf numFmtId="172" fontId="6" fillId="0" borderId="0" xfId="0" applyNumberFormat="1" applyFont="1" applyProtection="1"/>
    <xf numFmtId="172" fontId="6" fillId="0" borderId="0" xfId="0" applyNumberFormat="1" applyFont="1" applyAlignment="1" applyProtection="1">
      <alignment horizontal="fill"/>
    </xf>
    <xf numFmtId="172" fontId="6" fillId="0" borderId="40" xfId="0" applyNumberFormat="1" applyFont="1" applyBorder="1" applyAlignment="1" applyProtection="1">
      <alignment vertical="center"/>
    </xf>
    <xf numFmtId="172" fontId="6" fillId="0" borderId="31" xfId="0" applyNumberFormat="1" applyFont="1" applyBorder="1" applyAlignment="1" applyProtection="1">
      <alignment vertical="center"/>
    </xf>
    <xf numFmtId="172" fontId="6" fillId="0" borderId="39" xfId="0" applyNumberFormat="1" applyFont="1" applyFill="1" applyBorder="1" applyAlignment="1" applyProtection="1">
      <alignment vertical="center"/>
    </xf>
    <xf numFmtId="172" fontId="6" fillId="0" borderId="15" xfId="0" applyFont="1" applyFill="1" applyBorder="1" applyAlignment="1">
      <alignment vertical="center"/>
    </xf>
    <xf numFmtId="172" fontId="6" fillId="0" borderId="10" xfId="0" applyNumberFormat="1" applyFont="1" applyBorder="1" applyAlignment="1" applyProtection="1">
      <alignment horizontal="right"/>
    </xf>
    <xf numFmtId="172" fontId="6" fillId="0" borderId="10" xfId="0" applyNumberFormat="1" applyFont="1" applyBorder="1" applyProtection="1"/>
    <xf numFmtId="172" fontId="6" fillId="0" borderId="10" xfId="0" applyFont="1" applyBorder="1"/>
    <xf numFmtId="4" fontId="6" fillId="0" borderId="10" xfId="0" applyNumberFormat="1" applyFont="1" applyBorder="1" applyAlignment="1">
      <alignment horizontal="left"/>
    </xf>
    <xf numFmtId="4" fontId="6" fillId="0" borderId="10" xfId="0" applyNumberFormat="1" applyFont="1" applyFill="1" applyBorder="1" applyAlignment="1">
      <alignment horizontal="left"/>
    </xf>
    <xf numFmtId="4" fontId="6" fillId="22" borderId="10" xfId="0" applyNumberFormat="1" applyFont="1" applyFill="1" applyBorder="1" applyAlignment="1">
      <alignment horizontal="left"/>
    </xf>
    <xf numFmtId="172" fontId="6" fillId="22" borderId="11" xfId="0" applyFont="1" applyFill="1" applyBorder="1" applyAlignment="1">
      <alignment horizontal="center" vertical="center"/>
    </xf>
    <xf numFmtId="172" fontId="6" fillId="22" borderId="10" xfId="0" applyNumberFormat="1" applyFont="1" applyFill="1" applyBorder="1" applyAlignment="1" applyProtection="1">
      <alignment horizontal="center" vertical="center"/>
    </xf>
    <xf numFmtId="172" fontId="4" fillId="22" borderId="0" xfId="0" applyNumberFormat="1" applyFont="1" applyFill="1" applyBorder="1" applyAlignment="1" applyProtection="1">
      <alignment vertical="top"/>
    </xf>
    <xf numFmtId="172" fontId="4" fillId="0" borderId="0" xfId="0" applyNumberFormat="1" applyFont="1" applyBorder="1" applyAlignment="1" applyProtection="1">
      <alignment vertical="top"/>
    </xf>
    <xf numFmtId="172" fontId="3" fillId="0" borderId="0" xfId="0" applyNumberFormat="1" applyFont="1" applyBorder="1" applyAlignment="1" applyProtection="1">
      <alignment vertical="top"/>
      <protection locked="0"/>
    </xf>
    <xf numFmtId="172" fontId="6" fillId="0" borderId="0" xfId="0" applyNumberFormat="1" applyFont="1" applyAlignment="1" applyProtection="1">
      <alignment horizontal="right" vertical="top"/>
    </xf>
    <xf numFmtId="172" fontId="4" fillId="0" borderId="0" xfId="0" applyFont="1" applyBorder="1" applyAlignment="1">
      <alignment vertical="top"/>
    </xf>
    <xf numFmtId="172" fontId="6" fillId="0" borderId="0" xfId="0" applyNumberFormat="1" applyFont="1" applyFill="1" applyAlignment="1" applyProtection="1">
      <alignment horizontal="center" vertical="top"/>
    </xf>
    <xf numFmtId="2" fontId="6" fillId="22" borderId="10" xfId="0" applyNumberFormat="1" applyFont="1" applyFill="1" applyBorder="1" applyAlignment="1">
      <alignment horizontal="left" vertical="center" wrapText="1"/>
    </xf>
    <xf numFmtId="172" fontId="6" fillId="20" borderId="0" xfId="0" applyNumberFormat="1" applyFont="1" applyFill="1" applyBorder="1" applyAlignment="1" applyProtection="1">
      <alignment vertical="center"/>
    </xf>
    <xf numFmtId="10" fontId="6" fillId="20" borderId="0" xfId="55" applyNumberFormat="1" applyFont="1" applyFill="1" applyBorder="1" applyAlignment="1" applyProtection="1">
      <alignment vertical="center"/>
    </xf>
    <xf numFmtId="10" fontId="6" fillId="20" borderId="0" xfId="55" applyNumberFormat="1" applyFont="1" applyFill="1" applyBorder="1" applyAlignment="1">
      <alignment vertical="center"/>
    </xf>
    <xf numFmtId="172" fontId="32" fillId="0" borderId="0" xfId="0" applyFont="1" applyBorder="1" applyAlignment="1">
      <alignment vertical="center" wrapText="1"/>
    </xf>
    <xf numFmtId="172" fontId="6" fillId="0" borderId="0" xfId="0" applyFont="1" applyBorder="1" applyAlignment="1">
      <alignment horizontal="center" vertical="top"/>
    </xf>
    <xf numFmtId="2" fontId="4" fillId="0" borderId="0" xfId="0" applyNumberFormat="1" applyFont="1" applyBorder="1" applyAlignment="1">
      <alignment horizontal="left" vertical="top" wrapText="1"/>
    </xf>
    <xf numFmtId="172" fontId="4" fillId="0" borderId="0" xfId="0" applyFont="1" applyBorder="1" applyAlignment="1">
      <alignment vertical="center" wrapText="1"/>
    </xf>
    <xf numFmtId="172" fontId="6" fillId="0" borderId="34" xfId="46" applyBorder="1" applyAlignment="1">
      <alignment horizontal="center"/>
    </xf>
    <xf numFmtId="172" fontId="6" fillId="0" borderId="34" xfId="46" quotePrefix="1" applyNumberFormat="1" applyBorder="1" applyAlignment="1" applyProtection="1">
      <alignment horizontal="center"/>
    </xf>
    <xf numFmtId="172" fontId="6" fillId="0" borderId="31" xfId="0" applyNumberFormat="1" applyFont="1" applyFill="1" applyBorder="1" applyAlignment="1">
      <alignment vertical="top" wrapText="1"/>
    </xf>
    <xf numFmtId="0" fontId="2" fillId="0" borderId="12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Fill="1" applyBorder="1" applyAlignment="1">
      <alignment horizontal="right" vertical="top" wrapText="1"/>
    </xf>
    <xf numFmtId="0" fontId="28" fillId="0" borderId="12" xfId="0" applyNumberFormat="1" applyFont="1" applyFill="1" applyBorder="1" applyAlignment="1">
      <alignment horizontal="center" vertical="top" wrapText="1"/>
    </xf>
    <xf numFmtId="187" fontId="6" fillId="0" borderId="12" xfId="0" applyNumberFormat="1" applyFont="1" applyFill="1" applyBorder="1" applyAlignment="1">
      <alignment horizontal="center" vertical="top" wrapText="1"/>
    </xf>
    <xf numFmtId="0" fontId="4" fillId="0" borderId="10" xfId="0" applyNumberFormat="1" applyFont="1" applyBorder="1" applyAlignment="1">
      <alignment horizontal="right" vertical="center" wrapText="1"/>
    </xf>
    <xf numFmtId="0" fontId="4" fillId="19" borderId="10" xfId="0" applyNumberFormat="1" applyFont="1" applyFill="1" applyBorder="1" applyAlignment="1">
      <alignment horizontal="right" vertical="center" wrapText="1"/>
    </xf>
    <xf numFmtId="0" fontId="4" fillId="0" borderId="10" xfId="0" applyNumberFormat="1" applyFont="1" applyBorder="1" applyAlignment="1">
      <alignment horizontal="left" vertical="top" wrapText="1"/>
    </xf>
    <xf numFmtId="0" fontId="4" fillId="0" borderId="10" xfId="0" applyNumberFormat="1" applyFont="1" applyBorder="1" applyAlignment="1">
      <alignment vertical="top" wrapText="1"/>
    </xf>
    <xf numFmtId="0" fontId="2" fillId="22" borderId="12" xfId="0" applyNumberFormat="1" applyFont="1" applyFill="1" applyBorder="1" applyAlignment="1">
      <alignment horizontal="justify" vertical="top" wrapText="1"/>
    </xf>
    <xf numFmtId="0" fontId="6" fillId="0" borderId="0" xfId="0" applyNumberFormat="1" applyFont="1" applyFill="1" applyBorder="1" applyAlignment="1">
      <alignment horizontal="center" vertical="top" wrapText="1"/>
    </xf>
    <xf numFmtId="0" fontId="6" fillId="0" borderId="0" xfId="0" applyNumberFormat="1" applyFont="1" applyFill="1" applyBorder="1" applyAlignment="1">
      <alignment vertical="center" wrapText="1"/>
    </xf>
    <xf numFmtId="172" fontId="6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vertical="center" wrapText="1"/>
    </xf>
    <xf numFmtId="0" fontId="4" fillId="0" borderId="0" xfId="0" applyNumberFormat="1" applyFont="1" applyFill="1" applyBorder="1" applyAlignment="1">
      <alignment vertical="top" wrapText="1"/>
    </xf>
    <xf numFmtId="2" fontId="4" fillId="0" borderId="28" xfId="0" applyNumberFormat="1" applyFont="1" applyBorder="1" applyAlignment="1">
      <alignment horizontal="center" vertical="top" wrapText="1"/>
    </xf>
    <xf numFmtId="0" fontId="6" fillId="0" borderId="0" xfId="0" applyNumberFormat="1" applyFont="1" applyFill="1" applyBorder="1" applyAlignment="1">
      <alignment vertical="top" wrapText="1"/>
    </xf>
    <xf numFmtId="172" fontId="6" fillId="0" borderId="0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left" vertical="center" wrapText="1"/>
    </xf>
    <xf numFmtId="172" fontId="4" fillId="0" borderId="0" xfId="0" applyNumberFormat="1" applyFont="1" applyFill="1" applyBorder="1" applyAlignment="1">
      <alignment vertical="top" wrapText="1"/>
    </xf>
    <xf numFmtId="2" fontId="6" fillId="0" borderId="10" xfId="0" applyNumberFormat="1" applyFont="1" applyFill="1" applyBorder="1" applyAlignment="1">
      <alignment horizontal="right" vertical="top" wrapText="1"/>
    </xf>
    <xf numFmtId="0" fontId="2" fillId="22" borderId="10" xfId="0" applyNumberFormat="1" applyFont="1" applyFill="1" applyBorder="1" applyAlignment="1">
      <alignment horizontal="left" vertical="top" wrapText="1"/>
    </xf>
    <xf numFmtId="0" fontId="4" fillId="0" borderId="10" xfId="0" applyNumberFormat="1" applyFont="1" applyFill="1" applyBorder="1" applyAlignment="1">
      <alignment horizontal="left" vertical="center" wrapText="1"/>
    </xf>
    <xf numFmtId="188" fontId="6" fillId="22" borderId="10" xfId="0" applyNumberFormat="1" applyFont="1" applyFill="1" applyBorder="1" applyAlignment="1">
      <alignment horizontal="center" vertical="top" wrapText="1"/>
    </xf>
    <xf numFmtId="0" fontId="6" fillId="19" borderId="10" xfId="0" applyNumberFormat="1" applyFont="1" applyFill="1" applyBorder="1" applyAlignment="1">
      <alignment vertical="center" wrapText="1"/>
    </xf>
    <xf numFmtId="172" fontId="41" fillId="0" borderId="29" xfId="0" applyNumberFormat="1" applyFont="1" applyBorder="1" applyAlignment="1">
      <alignment vertical="top"/>
    </xf>
    <xf numFmtId="172" fontId="41" fillId="0" borderId="0" xfId="0" applyNumberFormat="1" applyFont="1" applyBorder="1" applyAlignment="1">
      <alignment vertical="top"/>
    </xf>
    <xf numFmtId="172" fontId="35" fillId="0" borderId="29" xfId="0" applyNumberFormat="1" applyFont="1" applyBorder="1" applyAlignment="1">
      <alignment vertical="top"/>
    </xf>
    <xf numFmtId="172" fontId="9" fillId="20" borderId="0" xfId="0" applyNumberFormat="1" applyFont="1" applyFill="1" applyBorder="1" applyAlignment="1" applyProtection="1">
      <alignment vertical="center"/>
    </xf>
    <xf numFmtId="172" fontId="35" fillId="0" borderId="29" xfId="0" applyNumberFormat="1" applyFont="1" applyBorder="1" applyAlignment="1" applyProtection="1">
      <alignment vertical="center"/>
    </xf>
    <xf numFmtId="1" fontId="33" fillId="0" borderId="10" xfId="0" applyNumberFormat="1" applyFont="1" applyFill="1" applyBorder="1" applyAlignment="1">
      <alignment horizontal="center" vertical="center" wrapText="1"/>
    </xf>
    <xf numFmtId="172" fontId="42" fillId="0" borderId="10" xfId="0" applyFont="1" applyFill="1" applyBorder="1" applyAlignment="1">
      <alignment vertical="top" wrapText="1"/>
    </xf>
    <xf numFmtId="172" fontId="43" fillId="0" borderId="10" xfId="0" applyFont="1" applyFill="1" applyBorder="1" applyAlignment="1">
      <alignment vertical="top" wrapText="1"/>
    </xf>
    <xf numFmtId="0" fontId="63" fillId="0" borderId="10" xfId="45" applyFont="1" applyFill="1" applyBorder="1" applyAlignment="1">
      <alignment vertical="center"/>
    </xf>
    <xf numFmtId="2" fontId="63" fillId="0" borderId="10" xfId="45" applyNumberFormat="1" applyFont="1" applyFill="1" applyBorder="1" applyAlignment="1">
      <alignment horizontal="center" vertical="center"/>
    </xf>
    <xf numFmtId="0" fontId="6" fillId="0" borderId="12" xfId="0" applyNumberFormat="1" applyFont="1" applyFill="1" applyBorder="1" applyAlignment="1">
      <alignment vertical="top" wrapText="1"/>
    </xf>
    <xf numFmtId="172" fontId="44" fillId="0" borderId="10" xfId="0" applyFont="1" applyFill="1" applyBorder="1" applyAlignment="1">
      <alignment vertical="top" wrapText="1"/>
    </xf>
    <xf numFmtId="172" fontId="42" fillId="0" borderId="10" xfId="0" applyFont="1" applyFill="1" applyBorder="1" applyAlignment="1">
      <alignment vertical="center" wrapText="1"/>
    </xf>
    <xf numFmtId="172" fontId="43" fillId="0" borderId="10" xfId="0" applyFont="1" applyFill="1" applyBorder="1" applyAlignment="1">
      <alignment vertical="center" wrapText="1"/>
    </xf>
    <xf numFmtId="0" fontId="45" fillId="0" borderId="10" xfId="45" applyFont="1" applyFill="1" applyBorder="1" applyAlignment="1">
      <alignment vertical="center"/>
    </xf>
    <xf numFmtId="2" fontId="45" fillId="0" borderId="10" xfId="45" applyNumberFormat="1" applyFont="1" applyFill="1" applyBorder="1" applyAlignment="1">
      <alignment horizontal="center" vertical="center"/>
    </xf>
    <xf numFmtId="172" fontId="64" fillId="0" borderId="10" xfId="0" applyFont="1" applyFill="1" applyBorder="1" applyAlignment="1">
      <alignment vertical="center" wrapText="1"/>
    </xf>
    <xf numFmtId="0" fontId="45" fillId="0" borderId="10" xfId="45" applyFont="1" applyBorder="1" applyAlignment="1">
      <alignment vertical="center"/>
    </xf>
    <xf numFmtId="2" fontId="45" fillId="0" borderId="10" xfId="45" applyNumberFormat="1" applyFont="1" applyBorder="1" applyAlignment="1">
      <alignment horizontal="center" vertical="center"/>
    </xf>
    <xf numFmtId="172" fontId="6" fillId="0" borderId="10" xfId="0" applyFont="1" applyBorder="1" applyAlignment="1">
      <alignment horizontal="left" vertical="center" wrapText="1"/>
    </xf>
    <xf numFmtId="172" fontId="0" fillId="0" borderId="10" xfId="0" applyFont="1" applyBorder="1" applyAlignment="1">
      <alignment horizontal="left" vertical="center" wrapText="1"/>
    </xf>
    <xf numFmtId="1" fontId="63" fillId="0" borderId="10" xfId="45" applyNumberFormat="1" applyFont="1" applyBorder="1" applyAlignment="1">
      <alignment horizontal="center" vertical="center"/>
    </xf>
    <xf numFmtId="2" fontId="33" fillId="0" borderId="10" xfId="0" applyNumberFormat="1" applyFont="1" applyBorder="1" applyAlignment="1">
      <alignment horizontal="center" vertical="center"/>
    </xf>
    <xf numFmtId="2" fontId="63" fillId="0" borderId="10" xfId="45" applyNumberFormat="1" applyFont="1" applyBorder="1" applyAlignment="1">
      <alignment horizontal="center" vertical="center"/>
    </xf>
    <xf numFmtId="2" fontId="65" fillId="19" borderId="10" xfId="45" applyNumberFormat="1" applyFont="1" applyFill="1" applyBorder="1" applyAlignment="1">
      <alignment horizontal="center" vertical="center"/>
    </xf>
    <xf numFmtId="2" fontId="45" fillId="0" borderId="10" xfId="45" applyNumberFormat="1" applyFont="1" applyFill="1" applyBorder="1" applyAlignment="1">
      <alignment horizontal="center" vertical="top"/>
    </xf>
    <xf numFmtId="172" fontId="46" fillId="0" borderId="10" xfId="0" applyFont="1" applyBorder="1" applyAlignment="1">
      <alignment vertical="top" wrapText="1"/>
    </xf>
    <xf numFmtId="2" fontId="33" fillId="0" borderId="10" xfId="0" applyNumberFormat="1" applyFont="1" applyFill="1" applyBorder="1" applyAlignment="1">
      <alignment horizontal="center" vertical="center" wrapText="1"/>
    </xf>
    <xf numFmtId="0" fontId="63" fillId="0" borderId="31" xfId="45" applyFont="1" applyFill="1" applyBorder="1" applyAlignment="1">
      <alignment horizontal="center" vertical="center"/>
    </xf>
    <xf numFmtId="172" fontId="46" fillId="0" borderId="10" xfId="0" applyFont="1" applyBorder="1" applyAlignment="1">
      <alignment horizontal="center" vertical="center" wrapText="1"/>
    </xf>
    <xf numFmtId="2" fontId="63" fillId="0" borderId="11" xfId="45" applyNumberFormat="1" applyFont="1" applyBorder="1" applyAlignment="1">
      <alignment horizontal="center" vertical="center"/>
    </xf>
    <xf numFmtId="0" fontId="6" fillId="19" borderId="10" xfId="0" applyNumberFormat="1" applyFont="1" applyFill="1" applyBorder="1" applyAlignment="1">
      <alignment horizontal="center" vertical="top" wrapText="1"/>
    </xf>
    <xf numFmtId="2" fontId="65" fillId="19" borderId="10" xfId="45" applyNumberFormat="1" applyFont="1" applyFill="1" applyBorder="1" applyAlignment="1">
      <alignment horizontal="center" vertical="top"/>
    </xf>
    <xf numFmtId="0" fontId="4" fillId="19" borderId="12" xfId="0" applyNumberFormat="1" applyFont="1" applyFill="1" applyBorder="1" applyAlignment="1">
      <alignment vertical="top" wrapText="1"/>
    </xf>
    <xf numFmtId="0" fontId="6" fillId="19" borderId="12" xfId="0" applyNumberFormat="1" applyFont="1" applyFill="1" applyBorder="1" applyAlignment="1">
      <alignment vertical="top" wrapText="1"/>
    </xf>
    <xf numFmtId="172" fontId="6" fillId="19" borderId="12" xfId="0" applyNumberFormat="1" applyFont="1" applyFill="1" applyBorder="1" applyAlignment="1">
      <alignment vertical="top" wrapText="1"/>
    </xf>
    <xf numFmtId="1" fontId="48" fillId="0" borderId="10" xfId="0" applyNumberFormat="1" applyFont="1" applyFill="1" applyBorder="1" applyAlignment="1">
      <alignment horizontal="center" vertical="center" wrapText="1"/>
    </xf>
    <xf numFmtId="172" fontId="47" fillId="23" borderId="10" xfId="0" applyFont="1" applyFill="1" applyBorder="1" applyAlignment="1">
      <alignment vertical="center" wrapText="1"/>
    </xf>
    <xf numFmtId="0" fontId="63" fillId="0" borderId="10" xfId="45" applyFont="1" applyBorder="1" applyAlignment="1">
      <alignment horizontal="center" vertical="top"/>
    </xf>
    <xf numFmtId="172" fontId="45" fillId="0" borderId="10" xfId="0" applyNumberFormat="1" applyFont="1" applyFill="1" applyBorder="1" applyAlignment="1">
      <alignment horizontal="center" vertical="center"/>
    </xf>
    <xf numFmtId="172" fontId="47" fillId="0" borderId="10" xfId="0" applyFont="1" applyFill="1" applyBorder="1" applyAlignment="1">
      <alignment vertical="center" wrapText="1"/>
    </xf>
    <xf numFmtId="172" fontId="2" fillId="0" borderId="10" xfId="0" applyFont="1" applyFill="1" applyBorder="1" applyAlignment="1">
      <alignment horizontal="center" vertical="center"/>
    </xf>
    <xf numFmtId="172" fontId="6" fillId="0" borderId="10" xfId="0" applyFont="1" applyFill="1" applyBorder="1" applyAlignment="1">
      <alignment horizontal="center" vertical="center"/>
    </xf>
    <xf numFmtId="172" fontId="6" fillId="0" borderId="10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vertical="top" wrapText="1"/>
    </xf>
    <xf numFmtId="0" fontId="6" fillId="0" borderId="11" xfId="0" applyNumberFormat="1" applyFont="1" applyBorder="1" applyAlignment="1">
      <alignment horizontal="center" vertical="top" wrapText="1"/>
    </xf>
    <xf numFmtId="0" fontId="66" fillId="0" borderId="10" xfId="0" applyNumberFormat="1" applyFont="1" applyFill="1" applyBorder="1" applyAlignment="1">
      <alignment vertical="top" wrapText="1"/>
    </xf>
    <xf numFmtId="2" fontId="33" fillId="0" borderId="10" xfId="0" applyNumberFormat="1" applyFont="1" applyFill="1" applyBorder="1" applyAlignment="1">
      <alignment horizontal="center" vertical="top"/>
    </xf>
    <xf numFmtId="2" fontId="33" fillId="0" borderId="10" xfId="0" applyNumberFormat="1" applyFont="1" applyFill="1" applyBorder="1" applyAlignment="1">
      <alignment horizontal="right" vertical="top"/>
    </xf>
    <xf numFmtId="2" fontId="4" fillId="0" borderId="10" xfId="0" applyNumberFormat="1" applyFont="1" applyFill="1" applyBorder="1" applyAlignment="1">
      <alignment vertical="top" wrapText="1"/>
    </xf>
    <xf numFmtId="2" fontId="6" fillId="0" borderId="10" xfId="0" applyNumberFormat="1" applyFont="1" applyFill="1" applyBorder="1" applyAlignment="1">
      <alignment vertical="top" wrapText="1"/>
    </xf>
    <xf numFmtId="183" fontId="6" fillId="0" borderId="10" xfId="0" applyNumberFormat="1" applyFont="1" applyFill="1" applyBorder="1" applyAlignment="1">
      <alignment vertical="top" wrapText="1"/>
    </xf>
    <xf numFmtId="49" fontId="33" fillId="0" borderId="10" xfId="0" applyNumberFormat="1" applyFont="1" applyFill="1" applyBorder="1" applyAlignment="1">
      <alignment vertical="top"/>
    </xf>
    <xf numFmtId="1" fontId="49" fillId="0" borderId="10" xfId="0" applyNumberFormat="1" applyFont="1" applyFill="1" applyBorder="1" applyAlignment="1">
      <alignment horizontal="center" vertical="center" wrapText="1"/>
    </xf>
    <xf numFmtId="172" fontId="67" fillId="20" borderId="10" xfId="0" applyNumberFormat="1" applyFont="1" applyFill="1" applyBorder="1"/>
    <xf numFmtId="2" fontId="6" fillId="22" borderId="10" xfId="0" applyNumberFormat="1" applyFont="1" applyFill="1" applyBorder="1" applyAlignment="1">
      <alignment vertical="top" wrapText="1"/>
    </xf>
    <xf numFmtId="49" fontId="33" fillId="0" borderId="10" xfId="0" applyNumberFormat="1" applyFont="1" applyFill="1" applyBorder="1" applyAlignment="1">
      <alignment vertical="top" wrapText="1"/>
    </xf>
    <xf numFmtId="172" fontId="33" fillId="0" borderId="10" xfId="0" applyNumberFormat="1" applyFont="1" applyFill="1" applyBorder="1" applyAlignment="1">
      <alignment vertical="top"/>
    </xf>
    <xf numFmtId="172" fontId="50" fillId="0" borderId="0" xfId="50" applyFont="1" applyFill="1" applyAlignment="1">
      <alignment horizontal="left" vertical="center"/>
    </xf>
    <xf numFmtId="172" fontId="51" fillId="0" borderId="0" xfId="50" applyFont="1" applyFill="1"/>
    <xf numFmtId="172" fontId="51" fillId="0" borderId="0" xfId="50" applyFont="1" applyFill="1" applyAlignment="1">
      <alignment horizontal="left" vertical="center" indent="1"/>
    </xf>
    <xf numFmtId="172" fontId="52" fillId="0" borderId="0" xfId="50" applyFont="1" applyFill="1" applyAlignment="1">
      <alignment horizontal="left" vertical="center" indent="1"/>
    </xf>
    <xf numFmtId="172" fontId="51" fillId="0" borderId="0" xfId="50" applyFont="1" applyFill="1" applyAlignment="1">
      <alignment horizontal="left" vertical="center" indent="8"/>
    </xf>
    <xf numFmtId="172" fontId="68" fillId="0" borderId="0" xfId="50" applyFont="1" applyFill="1" applyBorder="1" applyAlignment="1">
      <alignment vertical="center"/>
    </xf>
    <xf numFmtId="172" fontId="51" fillId="0" borderId="0" xfId="50" applyFont="1" applyFill="1" applyBorder="1"/>
    <xf numFmtId="172" fontId="69" fillId="0" borderId="0" xfId="50" applyFont="1" applyFill="1" applyAlignment="1">
      <alignment horizontal="right"/>
    </xf>
    <xf numFmtId="191" fontId="69" fillId="0" borderId="34" xfId="50" applyNumberFormat="1" applyFont="1" applyFill="1" applyBorder="1" applyAlignment="1">
      <alignment horizontal="left" vertical="top"/>
    </xf>
    <xf numFmtId="191" fontId="69" fillId="0" borderId="0" xfId="50" applyNumberFormat="1" applyFont="1" applyFill="1" applyBorder="1" applyAlignment="1">
      <alignment horizontal="left" vertical="top"/>
    </xf>
    <xf numFmtId="172" fontId="69" fillId="0" borderId="0" xfId="50" applyFont="1" applyFill="1"/>
    <xf numFmtId="172" fontId="51" fillId="0" borderId="0" xfId="50" applyFont="1" applyFill="1" applyAlignment="1">
      <alignment vertical="top"/>
    </xf>
    <xf numFmtId="172" fontId="70" fillId="0" borderId="10" xfId="50" applyFont="1" applyFill="1" applyBorder="1" applyAlignment="1">
      <alignment horizontal="center" vertical="top" wrapText="1"/>
    </xf>
    <xf numFmtId="172" fontId="70" fillId="0" borderId="29" xfId="50" applyFont="1" applyFill="1" applyBorder="1" applyAlignment="1">
      <alignment horizontal="center" vertical="top" wrapText="1"/>
    </xf>
    <xf numFmtId="172" fontId="70" fillId="0" borderId="31" xfId="50" applyFont="1" applyFill="1" applyBorder="1" applyAlignment="1">
      <alignment vertical="top" wrapText="1"/>
    </xf>
    <xf numFmtId="172" fontId="45" fillId="0" borderId="0" xfId="50" applyFont="1" applyFill="1" applyAlignment="1">
      <alignment vertical="top"/>
    </xf>
    <xf numFmtId="172" fontId="70" fillId="0" borderId="31" xfId="50" applyFont="1" applyFill="1" applyBorder="1" applyAlignment="1">
      <alignment horizontal="center" vertical="top" wrapText="1"/>
    </xf>
    <xf numFmtId="9" fontId="70" fillId="0" borderId="31" xfId="55" applyFont="1" applyFill="1" applyBorder="1" applyAlignment="1">
      <alignment horizontal="center" vertical="top" wrapText="1"/>
    </xf>
    <xf numFmtId="172" fontId="70" fillId="0" borderId="11" xfId="50" applyFont="1" applyFill="1" applyBorder="1" applyAlignment="1">
      <alignment vertical="top" wrapText="1"/>
    </xf>
    <xf numFmtId="172" fontId="52" fillId="0" borderId="31" xfId="50" applyFont="1" applyFill="1" applyBorder="1" applyAlignment="1">
      <alignment vertical="center"/>
    </xf>
    <xf numFmtId="172" fontId="52" fillId="0" borderId="29" xfId="50" applyFont="1" applyFill="1" applyBorder="1" applyAlignment="1">
      <alignment vertical="center"/>
    </xf>
    <xf numFmtId="172" fontId="52" fillId="0" borderId="28" xfId="50" applyFont="1" applyFill="1" applyBorder="1" applyAlignment="1">
      <alignment vertical="center"/>
    </xf>
    <xf numFmtId="172" fontId="52" fillId="0" borderId="11" xfId="50" applyFont="1" applyFill="1" applyBorder="1" applyAlignment="1">
      <alignment vertical="center"/>
    </xf>
    <xf numFmtId="172" fontId="2" fillId="0" borderId="10" xfId="0" applyFont="1" applyBorder="1" applyAlignment="1">
      <alignment horizontal="center" vertical="top" wrapText="1"/>
    </xf>
    <xf numFmtId="172" fontId="2" fillId="0" borderId="12" xfId="0" applyFont="1" applyBorder="1" applyAlignment="1">
      <alignment horizontal="left" vertical="top" wrapText="1"/>
    </xf>
    <xf numFmtId="188" fontId="68" fillId="0" borderId="12" xfId="50" applyNumberFormat="1" applyFont="1" applyFill="1" applyBorder="1" applyAlignment="1">
      <alignment horizontal="center" vertical="top" wrapText="1"/>
    </xf>
    <xf numFmtId="4" fontId="68" fillId="0" borderId="12" xfId="50" applyNumberFormat="1" applyFont="1" applyFill="1" applyBorder="1" applyAlignment="1">
      <alignment horizontal="center" vertical="top" wrapText="1"/>
    </xf>
    <xf numFmtId="172" fontId="68" fillId="0" borderId="12" xfId="50" applyFont="1" applyFill="1" applyBorder="1" applyAlignment="1">
      <alignment horizontal="center" vertical="top" wrapText="1"/>
    </xf>
    <xf numFmtId="2" fontId="68" fillId="0" borderId="12" xfId="50" applyNumberFormat="1" applyFont="1" applyFill="1" applyBorder="1" applyAlignment="1">
      <alignment horizontal="center" vertical="top" wrapText="1"/>
    </xf>
    <xf numFmtId="2" fontId="71" fillId="0" borderId="31" xfId="50" applyNumberFormat="1" applyFont="1" applyFill="1" applyBorder="1" applyAlignment="1">
      <alignment horizontal="center" vertical="top" wrapText="1"/>
    </xf>
    <xf numFmtId="172" fontId="68" fillId="0" borderId="33" xfId="50" applyFont="1" applyFill="1" applyBorder="1" applyAlignment="1">
      <alignment horizontal="center" vertical="top" wrapText="1"/>
    </xf>
    <xf numFmtId="2" fontId="68" fillId="0" borderId="33" xfId="50" applyNumberFormat="1" applyFont="1" applyFill="1" applyBorder="1" applyAlignment="1">
      <alignment horizontal="center" vertical="top" wrapText="1"/>
    </xf>
    <xf numFmtId="172" fontId="71" fillId="0" borderId="12" xfId="50" applyFont="1" applyFill="1" applyBorder="1" applyAlignment="1">
      <alignment horizontal="center" vertical="top" wrapText="1"/>
    </xf>
    <xf numFmtId="172" fontId="8" fillId="0" borderId="12" xfId="50" applyFont="1" applyFill="1" applyBorder="1" applyAlignment="1">
      <alignment vertical="top"/>
    </xf>
    <xf numFmtId="172" fontId="72" fillId="0" borderId="12" xfId="50" applyFont="1" applyFill="1" applyBorder="1" applyAlignment="1">
      <alignment vertical="top" wrapText="1"/>
    </xf>
    <xf numFmtId="187" fontId="68" fillId="0" borderId="12" xfId="50" applyNumberFormat="1" applyFont="1" applyFill="1" applyBorder="1" applyAlignment="1">
      <alignment horizontal="center" vertical="top" wrapText="1"/>
    </xf>
    <xf numFmtId="10" fontId="68" fillId="0" borderId="12" xfId="55" applyNumberFormat="1" applyFont="1" applyFill="1" applyBorder="1" applyAlignment="1">
      <alignment horizontal="center" vertical="top" wrapText="1"/>
    </xf>
    <xf numFmtId="174" fontId="68" fillId="0" borderId="12" xfId="55" applyNumberFormat="1" applyFont="1" applyFill="1" applyBorder="1" applyAlignment="1">
      <alignment horizontal="center" vertical="top" wrapText="1"/>
    </xf>
    <xf numFmtId="2" fontId="68" fillId="0" borderId="12" xfId="55" applyNumberFormat="1" applyFont="1" applyFill="1" applyBorder="1" applyAlignment="1">
      <alignment horizontal="center" vertical="top" wrapText="1"/>
    </xf>
    <xf numFmtId="192" fontId="51" fillId="0" borderId="0" xfId="50" applyNumberFormat="1" applyFont="1" applyFill="1" applyAlignment="1">
      <alignment vertical="top"/>
    </xf>
    <xf numFmtId="2" fontId="51" fillId="0" borderId="0" xfId="50" applyNumberFormat="1" applyFont="1" applyFill="1" applyAlignment="1">
      <alignment vertical="top"/>
    </xf>
    <xf numFmtId="172" fontId="71" fillId="0" borderId="28" xfId="50" applyFont="1" applyFill="1" applyBorder="1" applyAlignment="1">
      <alignment horizontal="center" vertical="top" wrapText="1"/>
    </xf>
    <xf numFmtId="172" fontId="71" fillId="0" borderId="28" xfId="50" applyFont="1" applyFill="1" applyBorder="1" applyAlignment="1">
      <alignment horizontal="left" vertical="top" wrapText="1"/>
    </xf>
    <xf numFmtId="172" fontId="71" fillId="0" borderId="28" xfId="50" applyFont="1" applyFill="1" applyBorder="1" applyAlignment="1">
      <alignment vertical="top" wrapText="1"/>
    </xf>
    <xf numFmtId="187" fontId="68" fillId="0" borderId="28" xfId="50" applyNumberFormat="1" applyFont="1" applyFill="1" applyBorder="1" applyAlignment="1">
      <alignment horizontal="center" vertical="top" wrapText="1"/>
    </xf>
    <xf numFmtId="172" fontId="68" fillId="0" borderId="28" xfId="50" applyFont="1" applyFill="1" applyBorder="1" applyAlignment="1">
      <alignment horizontal="center" vertical="top" wrapText="1"/>
    </xf>
    <xf numFmtId="172" fontId="71" fillId="0" borderId="0" xfId="50" applyFont="1" applyFill="1" applyAlignment="1">
      <alignment horizontal="justify" vertical="top"/>
    </xf>
    <xf numFmtId="172" fontId="71" fillId="0" borderId="0" xfId="50" applyFont="1" applyFill="1" applyBorder="1" applyAlignment="1">
      <alignment horizontal="center" vertical="top" wrapText="1"/>
    </xf>
    <xf numFmtId="172" fontId="68" fillId="0" borderId="0" xfId="50" applyFont="1" applyFill="1" applyAlignment="1">
      <alignment vertical="top" wrapText="1"/>
    </xf>
    <xf numFmtId="2" fontId="68" fillId="0" borderId="41" xfId="50" applyNumberFormat="1" applyFont="1" applyFill="1" applyBorder="1" applyAlignment="1">
      <alignment horizontal="center" vertical="top" wrapText="1"/>
    </xf>
    <xf numFmtId="172" fontId="73" fillId="0" borderId="0" xfId="50" applyFont="1" applyFill="1" applyAlignment="1">
      <alignment vertical="top" wrapText="1"/>
    </xf>
    <xf numFmtId="172" fontId="73" fillId="0" borderId="41" xfId="50" applyFont="1" applyFill="1" applyBorder="1" applyAlignment="1">
      <alignment vertical="top" wrapText="1"/>
    </xf>
    <xf numFmtId="172" fontId="71" fillId="0" borderId="0" xfId="50" applyFont="1" applyFill="1" applyAlignment="1">
      <alignment vertical="top"/>
    </xf>
    <xf numFmtId="172" fontId="71" fillId="0" borderId="0" xfId="50" applyFont="1" applyFill="1" applyAlignment="1">
      <alignment vertical="top" wrapText="1"/>
    </xf>
    <xf numFmtId="172" fontId="68" fillId="0" borderId="0" xfId="50" applyFont="1" applyFill="1" applyAlignment="1">
      <alignment horizontal="left" vertical="top" wrapText="1"/>
    </xf>
    <xf numFmtId="172" fontId="71" fillId="0" borderId="0" xfId="50" applyFont="1" applyFill="1" applyAlignment="1">
      <alignment horizontal="center" vertical="top" wrapText="1"/>
    </xf>
    <xf numFmtId="172" fontId="71" fillId="0" borderId="0" xfId="50" applyFont="1" applyFill="1" applyAlignment="1">
      <alignment horizontal="center" vertical="center" wrapText="1"/>
    </xf>
    <xf numFmtId="172" fontId="71" fillId="0" borderId="0" xfId="50" applyFont="1" applyFill="1" applyAlignment="1">
      <alignment horizontal="left" vertical="top"/>
    </xf>
    <xf numFmtId="172" fontId="71" fillId="0" borderId="0" xfId="50" applyFont="1" applyFill="1" applyAlignment="1">
      <alignment horizontal="center" vertical="center"/>
    </xf>
    <xf numFmtId="172" fontId="51" fillId="0" borderId="0" xfId="50" applyFont="1" applyFill="1" applyAlignment="1">
      <alignment horizontal="left" vertical="top" wrapText="1"/>
    </xf>
    <xf numFmtId="172" fontId="68" fillId="0" borderId="0" xfId="50" applyFont="1" applyFill="1" applyAlignment="1">
      <alignment vertical="center"/>
    </xf>
    <xf numFmtId="172" fontId="50" fillId="0" borderId="0" xfId="50" applyFont="1" applyFill="1"/>
    <xf numFmtId="9" fontId="51" fillId="0" borderId="0" xfId="50" applyNumberFormat="1" applyFont="1" applyFill="1" applyBorder="1" applyAlignment="1">
      <alignment horizontal="center"/>
    </xf>
    <xf numFmtId="172" fontId="51" fillId="0" borderId="0" xfId="50" applyFont="1" applyFill="1" applyBorder="1" applyAlignment="1">
      <alignment horizontal="center"/>
    </xf>
    <xf numFmtId="172" fontId="68" fillId="0" borderId="41" xfId="50" applyFont="1" applyFill="1" applyBorder="1" applyAlignment="1">
      <alignment horizontal="center" vertical="top" wrapText="1"/>
    </xf>
    <xf numFmtId="172" fontId="52" fillId="0" borderId="42" xfId="50" applyFont="1" applyFill="1" applyBorder="1" applyAlignment="1">
      <alignment horizontal="center" vertical="center" wrapText="1"/>
    </xf>
    <xf numFmtId="172" fontId="52" fillId="0" borderId="42" xfId="50" applyFont="1" applyFill="1" applyBorder="1" applyAlignment="1">
      <alignment horizontal="center" vertical="top" wrapText="1"/>
    </xf>
    <xf numFmtId="172" fontId="68" fillId="0" borderId="40" xfId="50" applyFont="1" applyFill="1" applyBorder="1" applyAlignment="1">
      <alignment horizontal="center" vertical="top" wrapText="1"/>
    </xf>
    <xf numFmtId="173" fontId="52" fillId="0" borderId="42" xfId="50" applyNumberFormat="1" applyFont="1" applyFill="1" applyBorder="1" applyAlignment="1">
      <alignment horizontal="center" vertical="top" wrapText="1"/>
    </xf>
    <xf numFmtId="172" fontId="52" fillId="0" borderId="43" xfId="50" applyFont="1" applyFill="1" applyBorder="1" applyAlignment="1">
      <alignment horizontal="left" vertical="center" wrapText="1"/>
    </xf>
    <xf numFmtId="2" fontId="52" fillId="0" borderId="43" xfId="50" applyNumberFormat="1" applyFont="1" applyFill="1" applyBorder="1" applyAlignment="1">
      <alignment horizontal="center" vertical="top" wrapText="1"/>
    </xf>
    <xf numFmtId="172" fontId="68" fillId="0" borderId="0" xfId="50" applyFont="1" applyFill="1" applyBorder="1" applyAlignment="1">
      <alignment horizontal="center" vertical="top" wrapText="1"/>
    </xf>
    <xf numFmtId="2" fontId="52" fillId="0" borderId="41" xfId="50" applyNumberFormat="1" applyFont="1" applyFill="1" applyBorder="1" applyAlignment="1">
      <alignment horizontal="center" vertical="top" wrapText="1"/>
    </xf>
    <xf numFmtId="172" fontId="52" fillId="0" borderId="43" xfId="50" applyFont="1" applyFill="1" applyBorder="1" applyAlignment="1">
      <alignment horizontal="left" vertical="top" wrapText="1"/>
    </xf>
    <xf numFmtId="172" fontId="52" fillId="0" borderId="41" xfId="50" applyFont="1" applyFill="1" applyBorder="1" applyAlignment="1">
      <alignment horizontal="center" vertical="top" wrapText="1"/>
    </xf>
    <xf numFmtId="172" fontId="51" fillId="0" borderId="44" xfId="50" applyFont="1" applyFill="1" applyBorder="1" applyAlignment="1">
      <alignment horizontal="center" vertical="top" wrapText="1"/>
    </xf>
    <xf numFmtId="172" fontId="51" fillId="0" borderId="45" xfId="50" applyFont="1" applyFill="1" applyBorder="1" applyAlignment="1">
      <alignment horizontal="center" vertical="top" wrapText="1"/>
    </xf>
    <xf numFmtId="172" fontId="52" fillId="0" borderId="41" xfId="50" applyFont="1" applyFill="1" applyBorder="1" applyAlignment="1">
      <alignment vertical="top" wrapText="1"/>
    </xf>
    <xf numFmtId="172" fontId="52" fillId="0" borderId="43" xfId="50" applyFont="1" applyFill="1" applyBorder="1" applyAlignment="1">
      <alignment vertical="top"/>
    </xf>
    <xf numFmtId="172" fontId="71" fillId="0" borderId="44" xfId="50" applyFont="1" applyFill="1" applyBorder="1" applyAlignment="1">
      <alignment vertical="center"/>
    </xf>
    <xf numFmtId="172" fontId="52" fillId="0" borderId="41" xfId="50" applyFont="1" applyFill="1" applyBorder="1" applyAlignment="1">
      <alignment vertical="top"/>
    </xf>
    <xf numFmtId="2" fontId="52" fillId="0" borderId="46" xfId="50" applyNumberFormat="1" applyFont="1" applyFill="1" applyBorder="1" applyAlignment="1">
      <alignment horizontal="center" vertical="center"/>
    </xf>
    <xf numFmtId="2" fontId="52" fillId="0" borderId="41" xfId="50" applyNumberFormat="1" applyFont="1" applyFill="1" applyBorder="1" applyAlignment="1">
      <alignment horizontal="center" vertical="top"/>
    </xf>
    <xf numFmtId="172" fontId="71" fillId="0" borderId="0" xfId="50" applyFont="1" applyFill="1" applyAlignment="1">
      <alignment vertical="center"/>
    </xf>
    <xf numFmtId="172" fontId="51" fillId="0" borderId="0" xfId="50" applyFont="1" applyFill="1" applyAlignment="1">
      <alignment horizontal="left" vertical="center"/>
    </xf>
    <xf numFmtId="191" fontId="52" fillId="0" borderId="41" xfId="50" applyNumberFormat="1" applyFont="1" applyFill="1" applyBorder="1" applyAlignment="1">
      <alignment horizontal="left" vertical="top"/>
    </xf>
    <xf numFmtId="172" fontId="51" fillId="0" borderId="0" xfId="50" applyFont="1" applyFill="1" applyAlignment="1">
      <alignment horizontal="justify" vertical="center"/>
    </xf>
    <xf numFmtId="172" fontId="52" fillId="0" borderId="41" xfId="50" applyFont="1" applyFill="1" applyBorder="1" applyAlignment="1">
      <alignment horizontal="center" vertical="center" wrapText="1"/>
    </xf>
    <xf numFmtId="172" fontId="52" fillId="0" borderId="45" xfId="50" applyFont="1" applyFill="1" applyBorder="1" applyAlignment="1">
      <alignment horizontal="center" vertical="center" wrapText="1"/>
    </xf>
    <xf numFmtId="172" fontId="52" fillId="0" borderId="44" xfId="50" applyFont="1" applyFill="1" applyBorder="1" applyAlignment="1">
      <alignment horizontal="center" vertical="center"/>
    </xf>
    <xf numFmtId="172" fontId="52" fillId="0" borderId="10" xfId="50" applyFont="1" applyFill="1" applyBorder="1" applyAlignment="1">
      <alignment horizontal="left" vertical="center" wrapText="1"/>
    </xf>
    <xf numFmtId="172" fontId="52" fillId="0" borderId="10" xfId="50" applyFont="1" applyFill="1" applyBorder="1"/>
    <xf numFmtId="172" fontId="2" fillId="0" borderId="12" xfId="0" applyFont="1" applyBorder="1" applyAlignment="1">
      <alignment horizontal="center" vertical="top" wrapText="1"/>
    </xf>
    <xf numFmtId="2" fontId="71" fillId="0" borderId="39" xfId="50" applyNumberFormat="1" applyFont="1" applyFill="1" applyBorder="1" applyAlignment="1">
      <alignment horizontal="center" vertical="top" wrapText="1"/>
    </xf>
    <xf numFmtId="172" fontId="2" fillId="0" borderId="10" xfId="0" applyFont="1" applyFill="1" applyBorder="1" applyAlignment="1">
      <alignment horizontal="justify" vertical="top" wrapText="1"/>
    </xf>
    <xf numFmtId="188" fontId="68" fillId="0" borderId="10" xfId="50" applyNumberFormat="1" applyFont="1" applyFill="1" applyBorder="1" applyAlignment="1">
      <alignment horizontal="center" vertical="top" wrapText="1"/>
    </xf>
    <xf numFmtId="4" fontId="68" fillId="0" borderId="10" xfId="50" applyNumberFormat="1" applyFont="1" applyFill="1" applyBorder="1" applyAlignment="1">
      <alignment horizontal="center" vertical="top" wrapText="1"/>
    </xf>
    <xf numFmtId="172" fontId="68" fillId="0" borderId="10" xfId="50" applyFont="1" applyFill="1" applyBorder="1" applyAlignment="1">
      <alignment horizontal="center" vertical="top" wrapText="1"/>
    </xf>
    <xf numFmtId="2" fontId="68" fillId="0" borderId="10" xfId="50" applyNumberFormat="1" applyFont="1" applyFill="1" applyBorder="1" applyAlignment="1">
      <alignment horizontal="center" vertical="top" wrapText="1"/>
    </xf>
    <xf numFmtId="2" fontId="71" fillId="0" borderId="30" xfId="50" applyNumberFormat="1" applyFont="1" applyFill="1" applyBorder="1" applyAlignment="1">
      <alignment horizontal="center" vertical="top" wrapText="1"/>
    </xf>
    <xf numFmtId="2" fontId="71" fillId="0" borderId="10" xfId="50" applyNumberFormat="1" applyFont="1" applyFill="1" applyBorder="1" applyAlignment="1">
      <alignment horizontal="center" vertical="top" wrapText="1"/>
    </xf>
    <xf numFmtId="2" fontId="68" fillId="0" borderId="12" xfId="50" applyNumberFormat="1" applyFont="1" applyFill="1" applyBorder="1" applyAlignment="1">
      <alignment horizontal="center" vertical="center" wrapText="1"/>
    </xf>
    <xf numFmtId="172" fontId="6" fillId="0" borderId="10" xfId="0" applyFont="1" applyBorder="1" applyAlignment="1">
      <alignment horizontal="center" vertical="center" wrapText="1"/>
    </xf>
    <xf numFmtId="172" fontId="52" fillId="24" borderId="43" xfId="50" applyFont="1" applyFill="1" applyBorder="1" applyAlignment="1">
      <alignment horizontal="left" vertical="center" wrapText="1"/>
    </xf>
    <xf numFmtId="172" fontId="52" fillId="24" borderId="43" xfId="50" applyFont="1" applyFill="1" applyBorder="1" applyAlignment="1">
      <alignment horizontal="left" vertical="top" wrapText="1"/>
    </xf>
    <xf numFmtId="172" fontId="6" fillId="0" borderId="0" xfId="52" applyNumberFormat="1" applyAlignment="1">
      <alignment vertical="top"/>
    </xf>
    <xf numFmtId="172" fontId="6" fillId="0" borderId="0" xfId="52" applyNumberFormat="1" applyFill="1" applyAlignment="1">
      <alignment vertical="top"/>
    </xf>
    <xf numFmtId="172" fontId="0" fillId="0" borderId="0" xfId="0" applyAlignment="1">
      <alignment vertical="top"/>
    </xf>
    <xf numFmtId="0" fontId="66" fillId="0" borderId="0" xfId="43" applyFont="1" applyAlignment="1">
      <alignment horizontal="right" vertical="top"/>
    </xf>
    <xf numFmtId="172" fontId="6" fillId="0" borderId="0" xfId="52" applyNumberFormat="1" applyAlignment="1">
      <alignment horizontal="left" vertical="top"/>
    </xf>
    <xf numFmtId="172" fontId="28" fillId="0" borderId="0" xfId="52" applyNumberFormat="1" applyFont="1" applyAlignment="1">
      <alignment vertical="top" wrapText="1"/>
    </xf>
    <xf numFmtId="172" fontId="33" fillId="0" borderId="0" xfId="52" applyNumberFormat="1" applyFont="1" applyFill="1" applyAlignment="1">
      <alignment horizontal="right" vertical="top"/>
    </xf>
    <xf numFmtId="172" fontId="55" fillId="0" borderId="13" xfId="0" applyFont="1" applyBorder="1" applyAlignment="1">
      <alignment horizontal="center" vertical="center" wrapText="1"/>
    </xf>
    <xf numFmtId="172" fontId="55" fillId="0" borderId="14" xfId="0" applyFont="1" applyBorder="1" applyAlignment="1">
      <alignment horizontal="center" vertical="center" wrapText="1"/>
    </xf>
    <xf numFmtId="3" fontId="57" fillId="0" borderId="0" xfId="43" applyNumberFormat="1" applyFont="1" applyBorder="1" applyAlignment="1" applyProtection="1">
      <alignment vertical="top"/>
    </xf>
    <xf numFmtId="199" fontId="46" fillId="0" borderId="0" xfId="43" applyNumberFormat="1" applyFont="1" applyFill="1" applyBorder="1" applyAlignment="1">
      <alignment horizontal="right" vertical="top"/>
    </xf>
    <xf numFmtId="172" fontId="46" fillId="0" borderId="0" xfId="52" applyNumberFormat="1" applyFont="1" applyBorder="1" applyAlignment="1">
      <alignment vertical="top"/>
    </xf>
    <xf numFmtId="172" fontId="57" fillId="0" borderId="0" xfId="43" applyNumberFormat="1" applyFont="1" applyBorder="1" applyAlignment="1">
      <alignment horizontal="right" vertical="top"/>
    </xf>
    <xf numFmtId="3" fontId="57" fillId="0" borderId="18" xfId="43" applyNumberFormat="1" applyFont="1" applyBorder="1" applyAlignment="1">
      <alignment horizontal="center" vertical="center" wrapText="1"/>
    </xf>
    <xf numFmtId="3" fontId="57" fillId="0" borderId="47" xfId="43" applyNumberFormat="1" applyFont="1" applyBorder="1" applyAlignment="1">
      <alignment horizontal="center" vertical="center" wrapText="1"/>
    </xf>
    <xf numFmtId="3" fontId="46" fillId="0" borderId="48" xfId="43" applyNumberFormat="1" applyFont="1" applyBorder="1" applyAlignment="1">
      <alignment horizontal="center" vertical="top"/>
    </xf>
    <xf numFmtId="199" fontId="46" fillId="0" borderId="0" xfId="43" applyNumberFormat="1" applyFont="1" applyBorder="1" applyAlignment="1">
      <alignment horizontal="left" vertical="top" wrapText="1"/>
    </xf>
    <xf numFmtId="182" fontId="46" fillId="0" borderId="33" xfId="52" applyNumberFormat="1" applyFont="1" applyBorder="1" applyAlignment="1">
      <alignment horizontal="right" vertical="center" wrapText="1"/>
    </xf>
    <xf numFmtId="182" fontId="46" fillId="0" borderId="0" xfId="52" applyNumberFormat="1" applyFont="1" applyBorder="1" applyAlignment="1">
      <alignment horizontal="right" vertical="center" wrapText="1"/>
    </xf>
    <xf numFmtId="182" fontId="46" fillId="0" borderId="47" xfId="52" applyNumberFormat="1" applyFont="1" applyBorder="1" applyAlignment="1">
      <alignment vertical="top" wrapText="1"/>
    </xf>
    <xf numFmtId="182" fontId="46" fillId="0" borderId="47" xfId="0" applyNumberFormat="1" applyFont="1" applyBorder="1" applyAlignment="1">
      <alignment vertical="top" wrapText="1"/>
    </xf>
    <xf numFmtId="172" fontId="46" fillId="0" borderId="47" xfId="0" applyFont="1" applyBorder="1" applyAlignment="1">
      <alignment vertical="top" wrapText="1"/>
    </xf>
    <xf numFmtId="3" fontId="46" fillId="0" borderId="48" xfId="43" applyNumberFormat="1" applyFont="1" applyFill="1" applyBorder="1" applyAlignment="1">
      <alignment horizontal="center" vertical="top"/>
    </xf>
    <xf numFmtId="172" fontId="46" fillId="0" borderId="49" xfId="0" applyFont="1" applyBorder="1" applyAlignment="1">
      <alignment vertical="top"/>
    </xf>
    <xf numFmtId="3" fontId="46" fillId="0" borderId="16" xfId="43" applyNumberFormat="1" applyFont="1" applyBorder="1" applyAlignment="1">
      <alignment horizontal="center" vertical="top"/>
    </xf>
    <xf numFmtId="199" fontId="46" fillId="0" borderId="26" xfId="43" applyNumberFormat="1" applyFont="1" applyBorder="1" applyAlignment="1">
      <alignment horizontal="left" vertical="top" wrapText="1"/>
    </xf>
    <xf numFmtId="182" fontId="57" fillId="0" borderId="17" xfId="52" applyNumberFormat="1" applyFont="1" applyBorder="1" applyAlignment="1">
      <alignment vertical="top" wrapText="1"/>
    </xf>
    <xf numFmtId="182" fontId="57" fillId="0" borderId="50" xfId="52" applyNumberFormat="1" applyFont="1" applyBorder="1" applyAlignment="1">
      <alignment vertical="top" wrapText="1"/>
    </xf>
    <xf numFmtId="202" fontId="57" fillId="0" borderId="18" xfId="52" applyNumberFormat="1" applyFont="1" applyBorder="1" applyAlignment="1">
      <alignment vertical="top" wrapText="1"/>
    </xf>
    <xf numFmtId="3" fontId="46" fillId="0" borderId="20" xfId="43" applyNumberFormat="1" applyFont="1" applyBorder="1" applyAlignment="1">
      <alignment horizontal="center" vertical="top"/>
    </xf>
    <xf numFmtId="199" fontId="46" fillId="0" borderId="11" xfId="43" applyNumberFormat="1" applyFont="1" applyBorder="1" applyAlignment="1">
      <alignment vertical="top"/>
    </xf>
    <xf numFmtId="182" fontId="57" fillId="0" borderId="10" xfId="52" applyNumberFormat="1" applyFont="1" applyBorder="1" applyAlignment="1">
      <alignment vertical="top" wrapText="1"/>
    </xf>
    <xf numFmtId="182" fontId="57" fillId="0" borderId="29" xfId="52" applyNumberFormat="1" applyFont="1" applyBorder="1" applyAlignment="1">
      <alignment vertical="top" wrapText="1"/>
    </xf>
    <xf numFmtId="182" fontId="57" fillId="0" borderId="31" xfId="52" applyNumberFormat="1" applyFont="1" applyBorder="1" applyAlignment="1">
      <alignment vertical="top" wrapText="1"/>
    </xf>
    <xf numFmtId="202" fontId="57" fillId="0" borderId="19" xfId="52" applyNumberFormat="1" applyFont="1" applyBorder="1" applyAlignment="1">
      <alignment vertical="top" wrapText="1"/>
    </xf>
    <xf numFmtId="199" fontId="58" fillId="0" borderId="11" xfId="43" applyNumberFormat="1" applyFont="1" applyBorder="1" applyAlignment="1">
      <alignment vertical="top" wrapText="1"/>
    </xf>
    <xf numFmtId="182" fontId="57" fillId="0" borderId="19" xfId="52" applyNumberFormat="1" applyFont="1" applyBorder="1" applyAlignment="1">
      <alignment vertical="top" wrapText="1"/>
    </xf>
    <xf numFmtId="199" fontId="57" fillId="0" borderId="11" xfId="43" applyNumberFormat="1" applyFont="1" applyBorder="1" applyAlignment="1">
      <alignment vertical="top"/>
    </xf>
    <xf numFmtId="172" fontId="46" fillId="0" borderId="10" xfId="52" applyNumberFormat="1" applyFont="1" applyBorder="1" applyAlignment="1">
      <alignment vertical="top"/>
    </xf>
    <xf numFmtId="172" fontId="46" fillId="0" borderId="31" xfId="52" applyNumberFormat="1" applyFont="1" applyBorder="1" applyAlignment="1">
      <alignment vertical="top"/>
    </xf>
    <xf numFmtId="3" fontId="46" fillId="0" borderId="21" xfId="43" applyNumberFormat="1" applyFont="1" applyBorder="1" applyAlignment="1">
      <alignment horizontal="center" vertical="top"/>
    </xf>
    <xf numFmtId="199" fontId="57" fillId="0" borderId="27" xfId="43" applyNumberFormat="1" applyFont="1" applyBorder="1" applyAlignment="1">
      <alignment vertical="top"/>
    </xf>
    <xf numFmtId="172" fontId="46" fillId="0" borderId="22" xfId="52" applyNumberFormat="1" applyFont="1" applyBorder="1" applyAlignment="1">
      <alignment vertical="top"/>
    </xf>
    <xf numFmtId="172" fontId="46" fillId="0" borderId="51" xfId="52" applyNumberFormat="1" applyFont="1" applyBorder="1" applyAlignment="1">
      <alignment vertical="top"/>
    </xf>
    <xf numFmtId="10" fontId="57" fillId="0" borderId="31" xfId="55" applyNumberFormat="1" applyFont="1" applyBorder="1" applyAlignment="1">
      <alignment horizontal="right" vertical="center"/>
    </xf>
    <xf numFmtId="10" fontId="57" fillId="0" borderId="51" xfId="55" applyNumberFormat="1" applyFont="1" applyBorder="1" applyAlignment="1">
      <alignment horizontal="right" vertical="top"/>
    </xf>
    <xf numFmtId="10" fontId="57" fillId="0" borderId="23" xfId="55" applyNumberFormat="1" applyFont="1" applyBorder="1" applyAlignment="1">
      <alignment horizontal="right" vertical="top"/>
    </xf>
    <xf numFmtId="172" fontId="7" fillId="0" borderId="34" xfId="0" applyFont="1" applyBorder="1" applyAlignment="1">
      <alignment horizontal="center" vertical="top" wrapText="1"/>
    </xf>
    <xf numFmtId="0" fontId="6" fillId="22" borderId="10" xfId="0" applyNumberFormat="1" applyFont="1" applyFill="1" applyBorder="1" applyAlignment="1">
      <alignment vertical="center" wrapText="1"/>
    </xf>
    <xf numFmtId="172" fontId="4" fillId="0" borderId="31" xfId="0" applyNumberFormat="1" applyFont="1" applyFill="1" applyBorder="1" applyAlignment="1">
      <alignment horizontal="center" vertical="top" wrapText="1"/>
    </xf>
    <xf numFmtId="172" fontId="4" fillId="0" borderId="11" xfId="0" applyNumberFormat="1" applyFont="1" applyFill="1" applyBorder="1" applyAlignment="1">
      <alignment horizontal="center" vertical="top" wrapText="1"/>
    </xf>
    <xf numFmtId="0" fontId="6" fillId="25" borderId="12" xfId="0" applyNumberFormat="1" applyFont="1" applyFill="1" applyBorder="1" applyAlignment="1">
      <alignment horizontal="center" vertical="top" wrapText="1"/>
    </xf>
    <xf numFmtId="0" fontId="6" fillId="25" borderId="13" xfId="0" applyNumberFormat="1" applyFont="1" applyFill="1" applyBorder="1" applyAlignment="1">
      <alignment horizontal="center" vertical="top" wrapText="1"/>
    </xf>
    <xf numFmtId="172" fontId="47" fillId="19" borderId="31" xfId="0" applyFont="1" applyFill="1" applyBorder="1" applyAlignment="1">
      <alignment horizontal="right" vertical="top" wrapText="1"/>
    </xf>
    <xf numFmtId="172" fontId="47" fillId="19" borderId="29" xfId="0" applyFont="1" applyFill="1" applyBorder="1" applyAlignment="1">
      <alignment horizontal="right" vertical="top" wrapText="1"/>
    </xf>
    <xf numFmtId="172" fontId="47" fillId="19" borderId="14" xfId="0" applyFont="1" applyFill="1" applyBorder="1" applyAlignment="1">
      <alignment horizontal="right" vertical="top" wrapText="1"/>
    </xf>
    <xf numFmtId="172" fontId="6" fillId="0" borderId="0" xfId="0" applyNumberFormat="1" applyFont="1" applyBorder="1" applyAlignment="1" applyProtection="1">
      <alignment horizontal="center" vertical="top" wrapText="1"/>
    </xf>
    <xf numFmtId="172" fontId="4" fillId="0" borderId="52" xfId="0" applyFont="1" applyBorder="1" applyAlignment="1">
      <alignment horizontal="center" vertical="top"/>
    </xf>
    <xf numFmtId="172" fontId="4" fillId="0" borderId="29" xfId="0" applyFont="1" applyBorder="1" applyAlignment="1">
      <alignment horizontal="center" vertical="center"/>
    </xf>
    <xf numFmtId="172" fontId="8" fillId="0" borderId="0" xfId="0" applyNumberFormat="1" applyFont="1" applyBorder="1" applyAlignment="1" applyProtection="1">
      <alignment horizontal="center" vertical="center"/>
    </xf>
    <xf numFmtId="172" fontId="4" fillId="0" borderId="0" xfId="0" applyFont="1" applyBorder="1" applyAlignment="1">
      <alignment horizontal="center" vertical="center" wrapText="1"/>
    </xf>
    <xf numFmtId="172" fontId="4" fillId="19" borderId="0" xfId="0" applyNumberFormat="1" applyFont="1" applyFill="1" applyBorder="1" applyAlignment="1" applyProtection="1">
      <alignment horizontal="center" vertical="center"/>
    </xf>
    <xf numFmtId="172" fontId="4" fillId="0" borderId="0" xfId="0" applyFont="1" applyBorder="1" applyAlignment="1">
      <alignment horizontal="center" vertical="center"/>
    </xf>
    <xf numFmtId="172" fontId="6" fillId="0" borderId="0" xfId="0" applyFont="1" applyBorder="1" applyAlignment="1">
      <alignment horizontal="center" vertical="top" wrapText="1"/>
    </xf>
    <xf numFmtId="174" fontId="6" fillId="0" borderId="34" xfId="55" applyNumberFormat="1" applyFont="1" applyBorder="1" applyAlignment="1">
      <alignment horizontal="center" vertical="center"/>
    </xf>
    <xf numFmtId="172" fontId="4" fillId="0" borderId="0" xfId="0" applyNumberFormat="1" applyFont="1" applyBorder="1" applyAlignment="1" applyProtection="1">
      <alignment horizontal="center" vertical="center"/>
    </xf>
    <xf numFmtId="172" fontId="4" fillId="0" borderId="11" xfId="0" quotePrefix="1" applyFont="1" applyBorder="1" applyAlignment="1">
      <alignment vertical="center"/>
    </xf>
    <xf numFmtId="172" fontId="4" fillId="0" borderId="10" xfId="0" quotePrefix="1" applyFont="1" applyBorder="1" applyAlignment="1">
      <alignment vertical="center"/>
    </xf>
    <xf numFmtId="172" fontId="4" fillId="0" borderId="29" xfId="0" applyFont="1" applyBorder="1" applyAlignment="1">
      <alignment vertical="center"/>
    </xf>
    <xf numFmtId="172" fontId="4" fillId="0" borderId="0" xfId="0" applyFont="1" applyBorder="1" applyAlignment="1">
      <alignment vertical="center"/>
    </xf>
    <xf numFmtId="172" fontId="6" fillId="0" borderId="0" xfId="0" applyFont="1" applyBorder="1" applyAlignment="1">
      <alignment vertical="center"/>
    </xf>
    <xf numFmtId="172" fontId="4" fillId="0" borderId="10" xfId="0" applyFont="1" applyBorder="1" applyAlignment="1">
      <alignment horizontal="center" vertical="center"/>
    </xf>
    <xf numFmtId="172" fontId="4" fillId="0" borderId="0" xfId="0" applyNumberFormat="1" applyFont="1" applyBorder="1" applyAlignment="1" applyProtection="1">
      <alignment vertical="center"/>
    </xf>
    <xf numFmtId="172" fontId="4" fillId="0" borderId="14" xfId="0" applyFont="1" applyBorder="1" applyAlignment="1">
      <alignment vertical="center"/>
    </xf>
    <xf numFmtId="172" fontId="4" fillId="0" borderId="13" xfId="0" applyFont="1" applyBorder="1" applyAlignment="1">
      <alignment vertical="center"/>
    </xf>
    <xf numFmtId="172" fontId="4" fillId="0" borderId="31" xfId="0" applyFont="1" applyBorder="1" applyAlignment="1">
      <alignment horizontal="center" vertical="center"/>
    </xf>
    <xf numFmtId="172" fontId="4" fillId="0" borderId="11" xfId="0" applyFont="1" applyBorder="1" applyAlignment="1">
      <alignment horizontal="center" vertical="center"/>
    </xf>
    <xf numFmtId="0" fontId="8" fillId="0" borderId="0" xfId="50" applyNumberFormat="1" applyFont="1" applyAlignment="1">
      <alignment horizontal="center"/>
    </xf>
    <xf numFmtId="172" fontId="8" fillId="0" borderId="0" xfId="50" applyFont="1" applyAlignment="1">
      <alignment horizontal="center"/>
    </xf>
    <xf numFmtId="172" fontId="8" fillId="0" borderId="0" xfId="50" applyFont="1" applyAlignment="1">
      <alignment horizontal="center" vertical="center" wrapText="1"/>
    </xf>
    <xf numFmtId="0" fontId="4" fillId="0" borderId="0" xfId="50" applyNumberFormat="1" applyFont="1" applyAlignment="1">
      <alignment horizontal="center" vertical="center"/>
    </xf>
    <xf numFmtId="0" fontId="4" fillId="0" borderId="10" xfId="50" applyNumberFormat="1" applyFont="1" applyBorder="1" applyAlignment="1">
      <alignment horizontal="center" vertical="top"/>
    </xf>
    <xf numFmtId="0" fontId="6" fillId="22" borderId="31" xfId="50" applyNumberFormat="1" applyFont="1" applyFill="1" applyBorder="1" applyAlignment="1">
      <alignment horizontal="left" vertical="top" wrapText="1"/>
    </xf>
    <xf numFmtId="0" fontId="6" fillId="22" borderId="29" xfId="50" applyNumberFormat="1" applyFont="1" applyFill="1" applyBorder="1" applyAlignment="1">
      <alignment horizontal="left" vertical="top" wrapText="1"/>
    </xf>
    <xf numFmtId="0" fontId="6" fillId="22" borderId="11" xfId="50" applyNumberFormat="1" applyFont="1" applyFill="1" applyBorder="1" applyAlignment="1">
      <alignment horizontal="left" vertical="top" wrapText="1"/>
    </xf>
    <xf numFmtId="0" fontId="6" fillId="22" borderId="31" xfId="50" applyNumberFormat="1" applyFill="1" applyBorder="1" applyAlignment="1">
      <alignment horizontal="center"/>
    </xf>
    <xf numFmtId="0" fontId="6" fillId="22" borderId="29" xfId="50" applyNumberFormat="1" applyFill="1" applyBorder="1" applyAlignment="1">
      <alignment horizontal="center"/>
    </xf>
    <xf numFmtId="0" fontId="6" fillId="22" borderId="11" xfId="50" applyNumberFormat="1" applyFill="1" applyBorder="1" applyAlignment="1">
      <alignment horizontal="center"/>
    </xf>
    <xf numFmtId="0" fontId="6" fillId="22" borderId="31" xfId="50" applyNumberFormat="1" applyFont="1" applyFill="1" applyBorder="1" applyAlignment="1">
      <alignment horizontal="left" vertical="top"/>
    </xf>
    <xf numFmtId="0" fontId="6" fillId="22" borderId="29" xfId="50" applyNumberFormat="1" applyFont="1" applyFill="1" applyBorder="1" applyAlignment="1">
      <alignment horizontal="left" vertical="top"/>
    </xf>
    <xf numFmtId="0" fontId="6" fillId="22" borderId="11" xfId="50" applyNumberFormat="1" applyFont="1" applyFill="1" applyBorder="1" applyAlignment="1">
      <alignment horizontal="left" vertical="top"/>
    </xf>
    <xf numFmtId="0" fontId="6" fillId="22" borderId="31" xfId="50" applyNumberFormat="1" applyFill="1" applyBorder="1" applyAlignment="1">
      <alignment horizontal="left" vertical="top"/>
    </xf>
    <xf numFmtId="0" fontId="6" fillId="22" borderId="29" xfId="50" applyNumberFormat="1" applyFill="1" applyBorder="1" applyAlignment="1">
      <alignment horizontal="left" vertical="top"/>
    </xf>
    <xf numFmtId="0" fontId="6" fillId="22" borderId="11" xfId="50" applyNumberFormat="1" applyFill="1" applyBorder="1" applyAlignment="1">
      <alignment horizontal="left" vertical="top"/>
    </xf>
    <xf numFmtId="0" fontId="6" fillId="22" borderId="10" xfId="50" applyNumberFormat="1" applyFont="1" applyFill="1" applyBorder="1" applyAlignment="1">
      <alignment horizontal="left" vertical="top" wrapText="1"/>
    </xf>
    <xf numFmtId="0" fontId="6" fillId="22" borderId="10" xfId="50" applyNumberFormat="1" applyFill="1" applyBorder="1" applyAlignment="1">
      <alignment horizontal="left" vertical="top" wrapText="1"/>
    </xf>
    <xf numFmtId="0" fontId="4" fillId="0" borderId="31" xfId="50" applyNumberFormat="1" applyFont="1" applyBorder="1" applyAlignment="1">
      <alignment horizontal="center" wrapText="1"/>
    </xf>
    <xf numFmtId="0" fontId="4" fillId="0" borderId="29" xfId="50" applyNumberFormat="1" applyFont="1" applyBorder="1" applyAlignment="1">
      <alignment horizontal="center" wrapText="1"/>
    </xf>
    <xf numFmtId="0" fontId="4" fillId="0" borderId="11" xfId="50" applyNumberFormat="1" applyFont="1" applyBorder="1" applyAlignment="1">
      <alignment horizontal="center" wrapText="1"/>
    </xf>
    <xf numFmtId="0" fontId="4" fillId="0" borderId="31" xfId="50" applyNumberFormat="1" applyFont="1" applyBorder="1" applyAlignment="1">
      <alignment horizontal="left" vertical="top" wrapText="1"/>
    </xf>
    <xf numFmtId="0" fontId="4" fillId="0" borderId="29" xfId="50" applyNumberFormat="1" applyFont="1" applyBorder="1" applyAlignment="1">
      <alignment horizontal="left" vertical="top" wrapText="1"/>
    </xf>
    <xf numFmtId="0" fontId="4" fillId="0" borderId="11" xfId="50" applyNumberFormat="1" applyFont="1" applyBorder="1" applyAlignment="1">
      <alignment horizontal="left" vertical="top" wrapText="1"/>
    </xf>
    <xf numFmtId="172" fontId="6" fillId="0" borderId="0" xfId="46" applyNumberFormat="1" applyAlignment="1" applyProtection="1">
      <alignment horizontal="center"/>
    </xf>
    <xf numFmtId="172" fontId="6" fillId="0" borderId="0" xfId="46" applyNumberFormat="1" applyBorder="1" applyAlignment="1" applyProtection="1">
      <alignment horizontal="center"/>
    </xf>
    <xf numFmtId="172" fontId="8" fillId="0" borderId="0" xfId="47" applyNumberFormat="1" applyFont="1" applyAlignment="1">
      <alignment horizontal="center" vertical="top"/>
    </xf>
    <xf numFmtId="172" fontId="4" fillId="0" borderId="0" xfId="47" applyNumberFormat="1" applyFont="1" applyAlignment="1">
      <alignment horizontal="center" vertical="top"/>
    </xf>
    <xf numFmtId="172" fontId="4" fillId="0" borderId="10" xfId="46" applyFont="1" applyBorder="1" applyAlignment="1">
      <alignment horizontal="center"/>
    </xf>
    <xf numFmtId="172" fontId="70" fillId="0" borderId="39" xfId="50" applyFont="1" applyFill="1" applyBorder="1" applyAlignment="1">
      <alignment horizontal="left" vertical="top" wrapText="1"/>
    </xf>
    <xf numFmtId="172" fontId="70" fillId="0" borderId="15" xfId="50" applyFont="1" applyFill="1" applyBorder="1" applyAlignment="1">
      <alignment horizontal="left" vertical="top" wrapText="1"/>
    </xf>
    <xf numFmtId="172" fontId="70" fillId="0" borderId="40" xfId="50" applyFont="1" applyFill="1" applyBorder="1" applyAlignment="1">
      <alignment horizontal="left" vertical="top" wrapText="1"/>
    </xf>
    <xf numFmtId="172" fontId="70" fillId="0" borderId="14" xfId="50" applyFont="1" applyFill="1" applyBorder="1" applyAlignment="1">
      <alignment horizontal="left" vertical="top" wrapText="1"/>
    </xf>
    <xf numFmtId="172" fontId="70" fillId="0" borderId="39" xfId="50" applyFont="1" applyFill="1" applyBorder="1" applyAlignment="1">
      <alignment horizontal="center" vertical="top" wrapText="1"/>
    </xf>
    <xf numFmtId="172" fontId="70" fillId="0" borderId="15" xfId="50" applyFont="1" applyFill="1" applyBorder="1" applyAlignment="1">
      <alignment horizontal="center" vertical="top" wrapText="1"/>
    </xf>
    <xf numFmtId="172" fontId="70" fillId="0" borderId="40" xfId="50" applyFont="1" applyFill="1" applyBorder="1" applyAlignment="1">
      <alignment horizontal="center" vertical="top" wrapText="1"/>
    </xf>
    <xf numFmtId="172" fontId="70" fillId="0" borderId="14" xfId="50" applyFont="1" applyFill="1" applyBorder="1" applyAlignment="1">
      <alignment horizontal="center" vertical="top" wrapText="1"/>
    </xf>
    <xf numFmtId="172" fontId="54" fillId="0" borderId="12" xfId="50" applyFont="1" applyFill="1" applyBorder="1" applyAlignment="1">
      <alignment horizontal="left" vertical="top" wrapText="1"/>
    </xf>
    <xf numFmtId="172" fontId="54" fillId="0" borderId="33" xfId="50" applyFont="1" applyFill="1" applyBorder="1" applyAlignment="1">
      <alignment horizontal="left" vertical="top" wrapText="1"/>
    </xf>
    <xf numFmtId="172" fontId="54" fillId="0" borderId="13" xfId="50" applyFont="1" applyFill="1" applyBorder="1" applyAlignment="1">
      <alignment horizontal="left" vertical="top" wrapText="1"/>
    </xf>
    <xf numFmtId="176" fontId="52" fillId="0" borderId="0" xfId="50" applyNumberFormat="1" applyFont="1" applyFill="1" applyAlignment="1">
      <alignment horizontal="left" vertical="center"/>
    </xf>
    <xf numFmtId="176" fontId="51" fillId="0" borderId="0" xfId="50" applyNumberFormat="1" applyFont="1" applyFill="1" applyAlignment="1">
      <alignment horizontal="left" vertical="center"/>
    </xf>
    <xf numFmtId="172" fontId="68" fillId="0" borderId="10" xfId="50" applyFont="1" applyFill="1" applyBorder="1" applyAlignment="1">
      <alignment horizontal="center" vertical="top" wrapText="1"/>
    </xf>
    <xf numFmtId="172" fontId="68" fillId="0" borderId="31" xfId="50" applyFont="1" applyFill="1" applyBorder="1" applyAlignment="1">
      <alignment horizontal="center" vertical="top" wrapText="1"/>
    </xf>
    <xf numFmtId="172" fontId="68" fillId="0" borderId="34" xfId="50" applyFont="1" applyFill="1" applyBorder="1" applyAlignment="1">
      <alignment horizontal="center" vertical="top" wrapText="1"/>
    </xf>
    <xf numFmtId="172" fontId="68" fillId="0" borderId="29" xfId="50" applyFont="1" applyFill="1" applyBorder="1" applyAlignment="1">
      <alignment horizontal="center" vertical="top" wrapText="1"/>
    </xf>
    <xf numFmtId="172" fontId="68" fillId="0" borderId="11" xfId="50" applyFont="1" applyFill="1" applyBorder="1" applyAlignment="1">
      <alignment horizontal="center" vertical="top" wrapText="1"/>
    </xf>
    <xf numFmtId="172" fontId="52" fillId="0" borderId="31" xfId="50" applyFont="1" applyFill="1" applyBorder="1" applyAlignment="1">
      <alignment horizontal="center" vertical="top"/>
    </xf>
    <xf numFmtId="172" fontId="52" fillId="0" borderId="29" xfId="50" applyFont="1" applyFill="1" applyBorder="1" applyAlignment="1">
      <alignment horizontal="center" vertical="top"/>
    </xf>
    <xf numFmtId="172" fontId="52" fillId="0" borderId="11" xfId="50" applyFont="1" applyFill="1" applyBorder="1" applyAlignment="1">
      <alignment horizontal="center" vertical="top"/>
    </xf>
    <xf numFmtId="172" fontId="68" fillId="0" borderId="0" xfId="50" applyFont="1" applyFill="1" applyAlignment="1">
      <alignment horizontal="left" vertical="top" wrapText="1"/>
    </xf>
    <xf numFmtId="172" fontId="74" fillId="0" borderId="0" xfId="50" applyFont="1" applyFill="1" applyAlignment="1">
      <alignment horizontal="left" vertical="top" wrapText="1"/>
    </xf>
    <xf numFmtId="172" fontId="51" fillId="0" borderId="0" xfId="50" applyFont="1" applyFill="1" applyAlignment="1">
      <alignment horizontal="left" vertical="top" wrapText="1"/>
    </xf>
    <xf numFmtId="172" fontId="52" fillId="0" borderId="57" xfId="50" applyFont="1" applyFill="1" applyBorder="1" applyAlignment="1">
      <alignment horizontal="center" vertical="center" wrapText="1"/>
    </xf>
    <xf numFmtId="172" fontId="52" fillId="0" borderId="42" xfId="50" applyFont="1" applyFill="1" applyBorder="1" applyAlignment="1">
      <alignment horizontal="center" vertical="center" wrapText="1"/>
    </xf>
    <xf numFmtId="172" fontId="52" fillId="0" borderId="44" xfId="50" applyFont="1" applyFill="1" applyBorder="1" applyAlignment="1">
      <alignment horizontal="center" vertical="top" wrapText="1"/>
    </xf>
    <xf numFmtId="172" fontId="52" fillId="0" borderId="46" xfId="50" applyFont="1" applyFill="1" applyBorder="1" applyAlignment="1">
      <alignment horizontal="center" vertical="top" wrapText="1"/>
    </xf>
    <xf numFmtId="172" fontId="52" fillId="0" borderId="45" xfId="50" applyFont="1" applyFill="1" applyBorder="1" applyAlignment="1">
      <alignment horizontal="center" vertical="top" wrapText="1"/>
    </xf>
    <xf numFmtId="172" fontId="52" fillId="0" borderId="54" xfId="50" applyFont="1" applyFill="1" applyBorder="1" applyAlignment="1">
      <alignment horizontal="center" vertical="center" wrapText="1"/>
    </xf>
    <xf numFmtId="172" fontId="52" fillId="0" borderId="55" xfId="50" applyFont="1" applyFill="1" applyBorder="1" applyAlignment="1">
      <alignment horizontal="center" vertical="center" wrapText="1"/>
    </xf>
    <xf numFmtId="172" fontId="52" fillId="0" borderId="56" xfId="50" applyFont="1" applyFill="1" applyBorder="1" applyAlignment="1">
      <alignment horizontal="center" vertical="center" wrapText="1"/>
    </xf>
    <xf numFmtId="172" fontId="52" fillId="0" borderId="43" xfId="50" applyFont="1" applyFill="1" applyBorder="1" applyAlignment="1">
      <alignment horizontal="center" vertical="center" wrapText="1"/>
    </xf>
    <xf numFmtId="2" fontId="52" fillId="0" borderId="44" xfId="50" applyNumberFormat="1" applyFont="1" applyFill="1" applyBorder="1" applyAlignment="1">
      <alignment horizontal="center" vertical="top" wrapText="1"/>
    </xf>
    <xf numFmtId="172" fontId="51" fillId="0" borderId="44" xfId="50" applyFont="1" applyFill="1" applyBorder="1" applyAlignment="1">
      <alignment horizontal="left" vertical="center" wrapText="1"/>
    </xf>
    <xf numFmtId="172" fontId="51" fillId="0" borderId="45" xfId="50" applyFont="1" applyFill="1" applyBorder="1" applyAlignment="1">
      <alignment horizontal="left" vertical="center" wrapText="1"/>
    </xf>
    <xf numFmtId="2" fontId="52" fillId="0" borderId="45" xfId="50" applyNumberFormat="1" applyFont="1" applyFill="1" applyBorder="1" applyAlignment="1">
      <alignment horizontal="center" vertical="top" wrapText="1"/>
    </xf>
    <xf numFmtId="172" fontId="51" fillId="0" borderId="44" xfId="50" applyFont="1" applyFill="1" applyBorder="1" applyAlignment="1">
      <alignment horizontal="center" vertical="top" wrapText="1"/>
    </xf>
    <xf numFmtId="172" fontId="51" fillId="0" borderId="45" xfId="50" applyFont="1" applyFill="1" applyBorder="1" applyAlignment="1">
      <alignment horizontal="center" vertical="top" wrapText="1"/>
    </xf>
    <xf numFmtId="2" fontId="52" fillId="0" borderId="56" xfId="50" applyNumberFormat="1" applyFont="1" applyFill="1" applyBorder="1" applyAlignment="1">
      <alignment horizontal="center" vertical="top" wrapText="1"/>
    </xf>
    <xf numFmtId="2" fontId="52" fillId="0" borderId="43" xfId="50" applyNumberFormat="1" applyFont="1" applyFill="1" applyBorder="1" applyAlignment="1">
      <alignment horizontal="center" vertical="top" wrapText="1"/>
    </xf>
    <xf numFmtId="172" fontId="45" fillId="0" borderId="44" xfId="50" applyFont="1" applyFill="1" applyBorder="1" applyAlignment="1">
      <alignment vertical="center" wrapText="1"/>
    </xf>
    <xf numFmtId="172" fontId="45" fillId="0" borderId="45" xfId="50" applyFont="1" applyFill="1" applyBorder="1" applyAlignment="1">
      <alignment vertical="center" wrapText="1"/>
    </xf>
    <xf numFmtId="172" fontId="52" fillId="0" borderId="44" xfId="50" applyFont="1" applyFill="1" applyBorder="1" applyAlignment="1">
      <alignment horizontal="center" vertical="center" wrapText="1"/>
    </xf>
    <xf numFmtId="172" fontId="52" fillId="0" borderId="45" xfId="50" applyFont="1" applyFill="1" applyBorder="1" applyAlignment="1">
      <alignment horizontal="center" vertical="center" wrapText="1"/>
    </xf>
    <xf numFmtId="2" fontId="52" fillId="0" borderId="54" xfId="50" applyNumberFormat="1" applyFont="1" applyFill="1" applyBorder="1" applyAlignment="1">
      <alignment horizontal="center" vertical="top" wrapText="1"/>
    </xf>
    <xf numFmtId="2" fontId="52" fillId="0" borderId="55" xfId="50" applyNumberFormat="1" applyFont="1" applyFill="1" applyBorder="1" applyAlignment="1">
      <alignment horizontal="center" vertical="top" wrapText="1"/>
    </xf>
    <xf numFmtId="172" fontId="51" fillId="0" borderId="44" xfId="50" applyFont="1" applyFill="1" applyBorder="1" applyAlignment="1">
      <alignment horizontal="center" vertical="center" wrapText="1"/>
    </xf>
    <xf numFmtId="172" fontId="51" fillId="0" borderId="45" xfId="50" applyFont="1" applyFill="1" applyBorder="1" applyAlignment="1">
      <alignment horizontal="center" vertical="center" wrapText="1"/>
    </xf>
    <xf numFmtId="172" fontId="51" fillId="0" borderId="46" xfId="50" applyFont="1" applyFill="1" applyBorder="1" applyAlignment="1">
      <alignment horizontal="center" vertical="center" wrapText="1"/>
    </xf>
    <xf numFmtId="2" fontId="52" fillId="0" borderId="44" xfId="50" applyNumberFormat="1" applyFont="1" applyFill="1" applyBorder="1" applyAlignment="1">
      <alignment horizontal="center" vertical="center"/>
    </xf>
    <xf numFmtId="2" fontId="52" fillId="0" borderId="45" xfId="50" applyNumberFormat="1" applyFont="1" applyFill="1" applyBorder="1" applyAlignment="1">
      <alignment horizontal="center" vertical="center"/>
    </xf>
    <xf numFmtId="9" fontId="51" fillId="0" borderId="44" xfId="50" applyNumberFormat="1" applyFont="1" applyFill="1" applyBorder="1" applyAlignment="1">
      <alignment horizontal="center"/>
    </xf>
    <xf numFmtId="9" fontId="51" fillId="0" borderId="45" xfId="50" applyNumberFormat="1" applyFont="1" applyFill="1" applyBorder="1" applyAlignment="1">
      <alignment horizontal="center"/>
    </xf>
    <xf numFmtId="172" fontId="71" fillId="0" borderId="0" xfId="50" applyFont="1" applyFill="1" applyAlignment="1">
      <alignment horizontal="right" vertical="top" wrapText="1"/>
    </xf>
    <xf numFmtId="172" fontId="71" fillId="0" borderId="53" xfId="50" applyFont="1" applyFill="1" applyBorder="1" applyAlignment="1">
      <alignment horizontal="right" vertical="top" wrapText="1"/>
    </xf>
    <xf numFmtId="3" fontId="57" fillId="0" borderId="60" xfId="43" applyNumberFormat="1" applyFont="1" applyBorder="1" applyAlignment="1">
      <alignment horizontal="center" vertical="top" wrapText="1"/>
    </xf>
    <xf numFmtId="3" fontId="57" fillId="0" borderId="24" xfId="43" applyNumberFormat="1" applyFont="1" applyBorder="1" applyAlignment="1">
      <alignment horizontal="center" vertical="top" wrapText="1"/>
    </xf>
    <xf numFmtId="3" fontId="57" fillId="0" borderId="58" xfId="43" applyNumberFormat="1" applyFont="1" applyBorder="1" applyAlignment="1">
      <alignment horizontal="center" vertical="top" wrapText="1"/>
    </xf>
    <xf numFmtId="3" fontId="57" fillId="0" borderId="13" xfId="43" applyNumberFormat="1" applyFont="1" applyBorder="1" applyAlignment="1">
      <alignment horizontal="center" vertical="top" wrapText="1"/>
    </xf>
    <xf numFmtId="172" fontId="57" fillId="0" borderId="58" xfId="52" applyNumberFormat="1" applyFont="1" applyBorder="1" applyAlignment="1">
      <alignment horizontal="center" vertical="top"/>
    </xf>
    <xf numFmtId="172" fontId="57" fillId="0" borderId="13" xfId="52" applyNumberFormat="1" applyFont="1" applyBorder="1" applyAlignment="1">
      <alignment horizontal="center" vertical="top"/>
    </xf>
    <xf numFmtId="3" fontId="57" fillId="0" borderId="50" xfId="43" applyNumberFormat="1" applyFont="1" applyBorder="1" applyAlignment="1">
      <alignment horizontal="center" vertical="center" wrapText="1"/>
    </xf>
    <xf numFmtId="3" fontId="57" fillId="0" borderId="26" xfId="43" applyNumberFormat="1" applyFont="1" applyBorder="1" applyAlignment="1">
      <alignment horizontal="center" vertical="center" wrapText="1"/>
    </xf>
    <xf numFmtId="172" fontId="8" fillId="0" borderId="0" xfId="52" applyNumberFormat="1" applyFont="1" applyBorder="1" applyAlignment="1">
      <alignment horizontal="center" vertical="top" wrapText="1"/>
    </xf>
    <xf numFmtId="172" fontId="59" fillId="0" borderId="59" xfId="52" applyNumberFormat="1" applyFont="1" applyBorder="1" applyAlignment="1">
      <alignment horizontal="center" vertical="top" wrapText="1"/>
    </xf>
    <xf numFmtId="172" fontId="56" fillId="0" borderId="0" xfId="52" applyNumberFormat="1" applyFont="1" applyBorder="1" applyAlignment="1">
      <alignment horizontal="center" vertical="top" wrapText="1"/>
    </xf>
  </cellXfs>
  <cellStyles count="59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" xfId="28" builtinId="3"/>
    <cellStyle name="Comma 2" xfId="29"/>
    <cellStyle name="Explanatory Text 2" xfId="30"/>
    <cellStyle name="Good 2" xfId="31"/>
    <cellStyle name="Heading 1 2" xfId="32"/>
    <cellStyle name="Heading 2 2" xfId="33"/>
    <cellStyle name="Heading 3 2" xfId="34"/>
    <cellStyle name="Heading 4 2" xfId="35"/>
    <cellStyle name="Input 2" xfId="36"/>
    <cellStyle name="Linked Cell 2" xfId="37"/>
    <cellStyle name="Neutral 2" xfId="38"/>
    <cellStyle name="Normal" xfId="0" builtinId="0"/>
    <cellStyle name="Normal 15" xfId="39"/>
    <cellStyle name="Normal 2" xfId="40"/>
    <cellStyle name="Normal 2 2" xfId="41"/>
    <cellStyle name="Normal 2 2 2" xfId="42"/>
    <cellStyle name="Normal 2 2 2 4" xfId="43"/>
    <cellStyle name="Normal 3" xfId="44"/>
    <cellStyle name="Normal 3 11" xfId="45"/>
    <cellStyle name="Normal 3 2" xfId="46"/>
    <cellStyle name="Normal 3 2 2" xfId="47"/>
    <cellStyle name="Normal 4" xfId="48"/>
    <cellStyle name="Normal 5" xfId="49"/>
    <cellStyle name="Normal 6" xfId="50"/>
    <cellStyle name="Normal 7" xfId="51"/>
    <cellStyle name="Normal_Sheet2" xfId="52"/>
    <cellStyle name="Note 2" xfId="53"/>
    <cellStyle name="Output 2" xfId="54"/>
    <cellStyle name="Percent" xfId="55" builtinId="5"/>
    <cellStyle name="Title 2" xfId="56"/>
    <cellStyle name="Total 2" xfId="57"/>
    <cellStyle name="Warning Text 2" xfId="5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IN"/>
              <a:t>Name of assignment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558969624546851"/>
          <c:y val="0.12422705874902366"/>
          <c:w val="0.86488079028406006"/>
          <c:h val="0.58177900684666428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(capcost!$B$103,capcost!$B$107,capcost!$B$108,capcost!$B$109,capcost!$B$110,capcost!$B$111,capcost!$B$113,capcost!$B$115,capcost!$B$117,capcost!$B$118)</c:f>
              <c:strCache>
                <c:ptCount val="10"/>
                <c:pt idx="0">
                  <c:v>Equipment</c:v>
                </c:pt>
                <c:pt idx="1">
                  <c:v>Civil Works</c:v>
                </c:pt>
                <c:pt idx="2">
                  <c:v>Erec. &amp; Comm.</c:v>
                </c:pt>
                <c:pt idx="3">
                  <c:v>Engg. &amp; Constn</c:v>
                </c:pt>
                <c:pt idx="4">
                  <c:v>Freight &amp; Insurance</c:v>
                </c:pt>
                <c:pt idx="5">
                  <c:v>Taxes &amp; Duties</c:v>
                </c:pt>
                <c:pt idx="6">
                  <c:v>Contingencies</c:v>
                </c:pt>
                <c:pt idx="7">
                  <c:v>IDC </c:v>
                </c:pt>
                <c:pt idx="8">
                  <c:v>Input tax credit (ITC)</c:v>
                </c:pt>
                <c:pt idx="9">
                  <c:v>Capital Cost net of ITC</c:v>
                </c:pt>
              </c:strCache>
            </c:strRef>
          </c:cat>
          <c:val>
            <c:numRef>
              <c:f>(capcost!$E$103,capcost!$E$107,capcost!$E$108,capcost!$E$109,capcost!$E$110,capcost!$E$111,capcost!$E$113,capcost!$E$115,capcost!$E$117,capcost!$E$118)</c:f>
              <c:numCache>
                <c:formatCode>0.00_)</c:formatCode>
                <c:ptCount val="10"/>
                <c:pt idx="0">
                  <c:v>2.7850670357142859</c:v>
                </c:pt>
                <c:pt idx="1">
                  <c:v>0.94605484173913046</c:v>
                </c:pt>
                <c:pt idx="2">
                  <c:v>0.43395804428571433</c:v>
                </c:pt>
                <c:pt idx="3">
                  <c:v>0.84738724413043487</c:v>
                </c:pt>
                <c:pt idx="4">
                  <c:v>0.10058884071428573</c:v>
                </c:pt>
                <c:pt idx="5">
                  <c:v>0.89913784653726703</c:v>
                </c:pt>
                <c:pt idx="6">
                  <c:v>0.32554719265605592</c:v>
                </c:pt>
                <c:pt idx="7">
                  <c:v>0.37030993164626358</c:v>
                </c:pt>
                <c:pt idx="8">
                  <c:v>-0.8423493307390062</c:v>
                </c:pt>
                <c:pt idx="9">
                  <c:v>6.3644516466844312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20-47E7-B9AC-2774F4D61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29294271"/>
        <c:axId val="1"/>
      </c:barChart>
      <c:catAx>
        <c:axId val="18292942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IN"/>
                  <a:t>Cost Element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IN"/>
                  <a:t>Capital cost in Rs. Cr.</a:t>
                </a:r>
              </a:p>
            </c:rich>
          </c:tx>
          <c:overlay val="0"/>
        </c:title>
        <c:numFmt formatCode="0.00_)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829294271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464820</xdr:colOff>
      <xdr:row>93</xdr:row>
      <xdr:rowOff>114300</xdr:rowOff>
    </xdr:from>
    <xdr:to>
      <xdr:col>14</xdr:col>
      <xdr:colOff>289560</xdr:colOff>
      <xdr:row>110</xdr:row>
      <xdr:rowOff>15240</xdr:rowOff>
    </xdr:to>
    <xdr:graphicFrame macro="">
      <xdr:nvGraphicFramePr>
        <xdr:cNvPr id="1160317" name="Chart 2">
          <a:extLst>
            <a:ext uri="{FF2B5EF4-FFF2-40B4-BE49-F238E27FC236}">
              <a16:creationId xmlns:a16="http://schemas.microsoft.com/office/drawing/2014/main" id="{A024877B-E908-4652-A916-83FC84233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6</xdr:col>
      <xdr:colOff>693420</xdr:colOff>
      <xdr:row>3</xdr:row>
      <xdr:rowOff>114300</xdr:rowOff>
    </xdr:to>
    <xdr:pic>
      <xdr:nvPicPr>
        <xdr:cNvPr id="429632" name="Picture 3" descr="logo_dashboard">
          <a:extLst>
            <a:ext uri="{FF2B5EF4-FFF2-40B4-BE49-F238E27FC236}">
              <a16:creationId xmlns:a16="http://schemas.microsoft.com/office/drawing/2014/main" id="{3FE3B459-B599-41AE-8CB7-DCF244CF8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20640" y="190500"/>
          <a:ext cx="69342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365760</xdr:colOff>
      <xdr:row>3</xdr:row>
      <xdr:rowOff>38100</xdr:rowOff>
    </xdr:from>
    <xdr:to>
      <xdr:col>25</xdr:col>
      <xdr:colOff>365760</xdr:colOff>
      <xdr:row>4</xdr:row>
      <xdr:rowOff>7620</xdr:rowOff>
    </xdr:to>
    <xdr:cxnSp macro="">
      <xdr:nvCxnSpPr>
        <xdr:cNvPr id="459307" name="Straight Arrow Connector 2">
          <a:extLst>
            <a:ext uri="{FF2B5EF4-FFF2-40B4-BE49-F238E27FC236}">
              <a16:creationId xmlns:a16="http://schemas.microsoft.com/office/drawing/2014/main" id="{D4644C5D-F3F9-41CC-9887-ED77F7083C2D}"/>
            </a:ext>
          </a:extLst>
        </xdr:cNvPr>
        <xdr:cNvCxnSpPr>
          <a:cxnSpLocks noChangeShapeType="1"/>
        </xdr:cNvCxnSpPr>
      </xdr:nvCxnSpPr>
      <xdr:spPr bwMode="auto">
        <a:xfrm rot="5400000">
          <a:off x="24890730" y="902970"/>
          <a:ext cx="220980" cy="0"/>
        </a:xfrm>
        <a:prstGeom prst="straightConnector1">
          <a:avLst/>
        </a:prstGeom>
        <a:noFill/>
        <a:ln w="9525" algn="ctr">
          <a:solidFill>
            <a:srgbClr val="000000"/>
          </a:solidFill>
          <a:round/>
          <a:headEnd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K.JHA1/Desktop/01_DE_4693/4693_CAPITAL%20Cost_R=1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ic"/>
      <sheetName val="capcost"/>
      <sheetName val="cash flow"/>
      <sheetName val="FA"/>
      <sheetName val="MOM"/>
      <sheetName val="Pkg Cost"/>
    </sheetNames>
    <sheetDataSet>
      <sheetData sheetId="0" refreshError="1"/>
      <sheetData sheetId="1" refreshError="1">
        <row r="10">
          <cell r="F10">
            <v>0</v>
          </cell>
        </row>
        <row r="17">
          <cell r="V17">
            <v>0</v>
          </cell>
          <cell r="BB17">
            <v>0</v>
          </cell>
        </row>
        <row r="18">
          <cell r="V18">
            <v>0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76"/>
  <sheetViews>
    <sheetView showZeros="0" topLeftCell="A16" workbookViewId="0">
      <selection activeCell="I15" sqref="I15"/>
    </sheetView>
  </sheetViews>
  <sheetFormatPr defaultColWidth="8.90625" defaultRowHeight="15"/>
  <cols>
    <col min="1" max="1" width="3.453125" style="88" customWidth="1"/>
    <col min="2" max="2" width="31" style="1" customWidth="1"/>
    <col min="3" max="3" width="6.1796875" style="1" customWidth="1"/>
    <col min="4" max="4" width="8.08984375" style="2" customWidth="1"/>
    <col min="5" max="5" width="14.08984375" style="1" customWidth="1"/>
    <col min="6" max="6" width="10.453125" style="1" customWidth="1"/>
    <col min="7" max="7" width="15.6328125" style="1" customWidth="1"/>
    <col min="8" max="8" width="9.81640625" style="1" customWidth="1"/>
    <col min="9" max="9" width="18.54296875" style="1" customWidth="1"/>
    <col min="10" max="10" width="14.54296875" style="1" customWidth="1"/>
    <col min="11" max="11" width="11.1796875" style="1" customWidth="1"/>
    <col min="12" max="12" width="14" style="1" customWidth="1"/>
    <col min="13" max="13" width="15.08984375" style="1" customWidth="1"/>
    <col min="14" max="14" width="16.36328125" style="1" customWidth="1"/>
    <col min="15" max="15" width="9" style="1" bestFit="1" customWidth="1"/>
    <col min="16" max="16384" width="8.90625" style="1"/>
  </cols>
  <sheetData>
    <row r="1" spans="1:11" ht="9.75" customHeight="1">
      <c r="C1" s="67"/>
      <c r="D1" s="68"/>
      <c r="E1" s="71"/>
      <c r="F1" s="68"/>
      <c r="G1" s="86"/>
      <c r="H1" s="70"/>
      <c r="I1" s="69"/>
    </row>
    <row r="2" spans="1:11" ht="20.25" customHeight="1">
      <c r="A2" s="745" t="str">
        <f>capcost!E3</f>
        <v>INSTALLATION OF FLARE STACK FOR COB-10, ISP</v>
      </c>
      <c r="B2" s="745"/>
      <c r="C2" s="745"/>
      <c r="D2" s="745"/>
      <c r="E2" s="745"/>
      <c r="F2" s="745"/>
      <c r="G2" s="745"/>
      <c r="H2" s="745"/>
      <c r="I2" s="745"/>
    </row>
    <row r="3" spans="1:11" s="72" customFormat="1" ht="48.75" customHeight="1">
      <c r="A3" s="85"/>
      <c r="B3" s="746" t="s">
        <v>402</v>
      </c>
      <c r="C3" s="746"/>
      <c r="D3" s="746"/>
      <c r="E3" s="110" t="s">
        <v>357</v>
      </c>
      <c r="F3" s="499">
        <f>capcost!BE9</f>
        <v>74.878282187500005</v>
      </c>
      <c r="G3" s="121" t="s">
        <v>356</v>
      </c>
      <c r="H3" s="499">
        <f>capcost!BE8</f>
        <v>68.096249999999998</v>
      </c>
      <c r="I3" s="77"/>
    </row>
    <row r="4" spans="1:11" s="79" customFormat="1" ht="16.5" customHeight="1">
      <c r="A4" s="84"/>
      <c r="E4" s="110"/>
      <c r="F4" s="259"/>
      <c r="G4" s="260"/>
      <c r="H4" s="261"/>
      <c r="I4" s="77"/>
    </row>
    <row r="5" spans="1:11" s="106" customFormat="1" ht="34.5" customHeight="1">
      <c r="A5" s="83"/>
      <c r="B5" s="294" t="s">
        <v>480</v>
      </c>
      <c r="C5" s="74" t="s">
        <v>163</v>
      </c>
      <c r="D5" s="74" t="s">
        <v>183</v>
      </c>
      <c r="E5" s="75" t="s">
        <v>197</v>
      </c>
      <c r="F5" s="75" t="s">
        <v>189</v>
      </c>
      <c r="G5" s="76"/>
      <c r="H5" s="76"/>
      <c r="I5" s="76"/>
    </row>
    <row r="6" spans="1:11" s="106" customFormat="1" ht="18.75" customHeight="1">
      <c r="A6" s="83"/>
      <c r="B6" s="249" t="s">
        <v>481</v>
      </c>
      <c r="C6" s="246" t="s">
        <v>482</v>
      </c>
      <c r="D6" s="242"/>
      <c r="E6" s="458"/>
      <c r="F6" s="78">
        <v>3.41</v>
      </c>
      <c r="G6" s="76"/>
      <c r="H6" s="76"/>
      <c r="I6" s="76"/>
    </row>
    <row r="7" spans="1:11" s="106" customFormat="1" ht="18.75" customHeight="1">
      <c r="A7" s="83"/>
      <c r="B7" s="250" t="s">
        <v>483</v>
      </c>
      <c r="C7" s="246" t="s">
        <v>482</v>
      </c>
      <c r="D7" s="242"/>
      <c r="E7" s="458"/>
      <c r="F7" s="78">
        <v>1.39</v>
      </c>
      <c r="G7" s="76"/>
      <c r="H7" s="76"/>
      <c r="I7" s="76"/>
    </row>
    <row r="8" spans="1:11" s="66" customFormat="1" ht="33.75" customHeight="1">
      <c r="A8" s="84"/>
      <c r="B8" s="515" t="s">
        <v>395</v>
      </c>
      <c r="C8" s="87"/>
      <c r="D8" s="87"/>
      <c r="E8" s="99"/>
      <c r="F8" s="89">
        <f>SUM(F6:F7)</f>
        <v>4.8</v>
      </c>
      <c r="G8" s="77"/>
      <c r="H8" s="89">
        <f>SUM(H6:H7)</f>
        <v>0</v>
      </c>
      <c r="I8" s="108"/>
      <c r="K8" s="109"/>
    </row>
    <row r="9" spans="1:11" s="106" customFormat="1" ht="18.75" customHeight="1">
      <c r="A9" s="83"/>
      <c r="B9" s="457"/>
      <c r="C9" s="102"/>
      <c r="D9" s="83"/>
      <c r="E9" s="76"/>
      <c r="F9" s="82"/>
      <c r="G9" s="76"/>
      <c r="H9" s="76"/>
      <c r="I9" s="76"/>
    </row>
    <row r="10" spans="1:11" s="106" customFormat="1" ht="6.75" customHeight="1">
      <c r="A10" s="83"/>
      <c r="B10" s="105"/>
      <c r="C10" s="83"/>
      <c r="D10" s="83"/>
      <c r="E10" s="76"/>
      <c r="F10" s="76"/>
      <c r="G10" s="76"/>
      <c r="H10" s="76"/>
      <c r="I10" s="76"/>
    </row>
    <row r="11" spans="1:11" s="106" customFormat="1" ht="33" customHeight="1">
      <c r="A11" s="83"/>
      <c r="B11" s="294" t="s">
        <v>203</v>
      </c>
      <c r="C11" s="74" t="s">
        <v>163</v>
      </c>
      <c r="D11" s="74" t="s">
        <v>183</v>
      </c>
      <c r="E11" s="75" t="s">
        <v>197</v>
      </c>
      <c r="F11" s="75" t="s">
        <v>189</v>
      </c>
      <c r="G11" s="75" t="s">
        <v>195</v>
      </c>
      <c r="H11" s="75" t="s">
        <v>190</v>
      </c>
      <c r="I11" s="747" t="s">
        <v>210</v>
      </c>
      <c r="J11" s="748"/>
      <c r="K11" s="75"/>
    </row>
    <row r="12" spans="1:11" s="66" customFormat="1" ht="20.25" customHeight="1">
      <c r="A12" s="84"/>
      <c r="B12" s="14" t="s">
        <v>396</v>
      </c>
      <c r="C12" s="48"/>
      <c r="D12" s="48"/>
      <c r="E12" s="77"/>
      <c r="F12" s="78"/>
      <c r="G12" s="77"/>
      <c r="H12" s="77"/>
      <c r="I12" s="509"/>
    </row>
    <row r="13" spans="1:11" s="66" customFormat="1" ht="123.75" customHeight="1">
      <c r="A13" s="540">
        <v>1</v>
      </c>
      <c r="B13" s="541" t="s">
        <v>405</v>
      </c>
      <c r="C13" s="542" t="s">
        <v>406</v>
      </c>
      <c r="D13" s="543">
        <v>1</v>
      </c>
      <c r="E13" s="544">
        <f>20300000</f>
        <v>20300000</v>
      </c>
      <c r="F13" s="544">
        <f>D13*E13/10^5</f>
        <v>203</v>
      </c>
      <c r="G13" s="545"/>
      <c r="H13" s="545"/>
      <c r="I13" s="546" t="s">
        <v>594</v>
      </c>
      <c r="J13" s="123"/>
    </row>
    <row r="14" spans="1:11" s="66" customFormat="1" ht="66.75" customHeight="1">
      <c r="A14" s="540">
        <v>2</v>
      </c>
      <c r="B14" s="547" t="s">
        <v>408</v>
      </c>
      <c r="C14" s="548" t="s">
        <v>406</v>
      </c>
      <c r="D14" s="549">
        <v>2</v>
      </c>
      <c r="E14" s="550">
        <f>2600000/1.12</f>
        <v>2321428.5714285714</v>
      </c>
      <c r="F14" s="550">
        <f>D14*E14/10^5</f>
        <v>46.428571428571431</v>
      </c>
      <c r="G14" s="545"/>
      <c r="H14" s="545"/>
      <c r="I14" s="546" t="s">
        <v>409</v>
      </c>
      <c r="J14" s="123"/>
    </row>
    <row r="15" spans="1:11" s="66" customFormat="1" ht="60" customHeight="1">
      <c r="A15" s="540">
        <v>3</v>
      </c>
      <c r="B15" s="547" t="s">
        <v>410</v>
      </c>
      <c r="C15" s="551"/>
      <c r="D15" s="552">
        <v>1</v>
      </c>
      <c r="E15" s="560">
        <v>2142000</v>
      </c>
      <c r="F15" s="553">
        <f>D15*E15/10^5</f>
        <v>21.42</v>
      </c>
      <c r="G15" s="545"/>
      <c r="H15" s="545"/>
      <c r="I15" s="546" t="s">
        <v>411</v>
      </c>
      <c r="J15" s="123"/>
    </row>
    <row r="16" spans="1:11" s="77" customFormat="1" ht="23.25" customHeight="1">
      <c r="A16" s="566"/>
      <c r="B16" s="98" t="s">
        <v>424</v>
      </c>
      <c r="C16" s="568"/>
      <c r="D16" s="87"/>
      <c r="E16" s="569"/>
      <c r="F16" s="570">
        <f>SUM(F13:F15)</f>
        <v>270.84857142857146</v>
      </c>
      <c r="G16" s="569"/>
      <c r="H16" s="569"/>
      <c r="I16" s="99"/>
      <c r="J16" s="99"/>
    </row>
    <row r="17" spans="1:11" s="66" customFormat="1" ht="24" customHeight="1">
      <c r="A17" s="84"/>
      <c r="B17" s="14" t="s">
        <v>198</v>
      </c>
      <c r="C17" s="48"/>
      <c r="D17" s="48"/>
      <c r="E17" s="77"/>
      <c r="F17" s="78"/>
      <c r="G17" s="77"/>
      <c r="H17" s="77"/>
      <c r="I17" s="78"/>
      <c r="J17" s="77"/>
    </row>
    <row r="18" spans="1:11" s="66" customFormat="1" ht="70.5" customHeight="1">
      <c r="A18" s="84">
        <v>1</v>
      </c>
      <c r="B18" s="554" t="s">
        <v>412</v>
      </c>
      <c r="C18" s="555" t="s">
        <v>196</v>
      </c>
      <c r="D18" s="556">
        <v>1</v>
      </c>
      <c r="E18" s="557">
        <v>3015000</v>
      </c>
      <c r="F18" s="558">
        <v>30.15</v>
      </c>
      <c r="G18" s="77"/>
      <c r="H18" s="77"/>
      <c r="I18" s="303" t="s">
        <v>415</v>
      </c>
      <c r="J18" s="123"/>
    </row>
    <row r="19" spans="1:11" s="66" customFormat="1" ht="60" customHeight="1">
      <c r="A19" s="84">
        <v>2</v>
      </c>
      <c r="B19" s="554" t="s">
        <v>413</v>
      </c>
      <c r="C19" s="555" t="s">
        <v>414</v>
      </c>
      <c r="D19" s="556">
        <v>1</v>
      </c>
      <c r="E19" s="557">
        <v>825000</v>
      </c>
      <c r="F19" s="558">
        <v>8.25</v>
      </c>
      <c r="G19" s="77"/>
      <c r="H19" s="77"/>
      <c r="I19" s="303" t="s">
        <v>416</v>
      </c>
      <c r="J19" s="123"/>
    </row>
    <row r="20" spans="1:11" s="66" customFormat="1" ht="23.25" customHeight="1">
      <c r="A20" s="84"/>
      <c r="B20" s="515" t="s">
        <v>397</v>
      </c>
      <c r="C20" s="87"/>
      <c r="D20" s="87"/>
      <c r="E20" s="99"/>
      <c r="F20" s="559">
        <f>SUM(F18:F19)</f>
        <v>38.4</v>
      </c>
      <c r="G20" s="256"/>
      <c r="H20" s="258">
        <f>G20*H3/10^5</f>
        <v>0</v>
      </c>
      <c r="I20" s="267"/>
      <c r="J20" s="123"/>
    </row>
    <row r="21" spans="1:11" s="66" customFormat="1" ht="19.5" customHeight="1">
      <c r="A21" s="84"/>
      <c r="B21" s="14" t="s">
        <v>394</v>
      </c>
      <c r="C21" s="48"/>
      <c r="D21" s="48"/>
      <c r="E21" s="77"/>
      <c r="F21" s="78"/>
      <c r="G21" s="77"/>
      <c r="H21" s="77"/>
      <c r="I21" s="78"/>
    </row>
    <row r="22" spans="1:11" s="66" customFormat="1" ht="19.5" customHeight="1">
      <c r="A22" s="84">
        <v>1</v>
      </c>
      <c r="B22" s="561" t="s">
        <v>417</v>
      </c>
      <c r="C22" s="562" t="s">
        <v>196</v>
      </c>
      <c r="D22" s="563">
        <v>1</v>
      </c>
      <c r="E22" s="564">
        <v>5479970</v>
      </c>
      <c r="F22" s="565">
        <f>E22/10^5</f>
        <v>54.799700000000001</v>
      </c>
      <c r="G22" s="77"/>
      <c r="H22" s="77"/>
      <c r="I22" s="546" t="s">
        <v>418</v>
      </c>
      <c r="J22" s="123"/>
    </row>
    <row r="23" spans="1:11" s="66" customFormat="1" ht="60" customHeight="1">
      <c r="A23" s="84">
        <v>2</v>
      </c>
      <c r="B23" s="561" t="s">
        <v>419</v>
      </c>
      <c r="C23" s="562" t="s">
        <v>196</v>
      </c>
      <c r="D23" s="563">
        <v>1</v>
      </c>
      <c r="E23" s="564">
        <v>526000</v>
      </c>
      <c r="F23" s="565">
        <f>E23/10^5</f>
        <v>5.26</v>
      </c>
      <c r="G23" s="77"/>
      <c r="H23" s="77"/>
      <c r="I23" s="546" t="s">
        <v>420</v>
      </c>
      <c r="J23" s="123"/>
    </row>
    <row r="24" spans="1:11" s="66" customFormat="1" ht="53.25" customHeight="1">
      <c r="A24" s="84">
        <v>3</v>
      </c>
      <c r="B24" s="561" t="s">
        <v>421</v>
      </c>
      <c r="C24" s="562" t="s">
        <v>196</v>
      </c>
      <c r="D24" s="563">
        <v>1</v>
      </c>
      <c r="E24" s="564">
        <v>203400</v>
      </c>
      <c r="F24" s="565">
        <f>E24/10^5</f>
        <v>2.0339999999999998</v>
      </c>
      <c r="G24" s="255"/>
      <c r="H24" s="258" t="e">
        <f>G24*#REF!/10^5</f>
        <v>#REF!</v>
      </c>
      <c r="I24" s="546" t="s">
        <v>422</v>
      </c>
      <c r="J24" s="123"/>
    </row>
    <row r="25" spans="1:11" s="77" customFormat="1" ht="30.75" customHeight="1">
      <c r="A25" s="566"/>
      <c r="B25" s="751" t="s">
        <v>423</v>
      </c>
      <c r="C25" s="752"/>
      <c r="D25" s="752"/>
      <c r="E25" s="753"/>
      <c r="F25" s="567">
        <f>SUM(F22:F24)</f>
        <v>62.093699999999998</v>
      </c>
      <c r="G25" s="117"/>
      <c r="H25" s="118"/>
      <c r="I25" s="108"/>
    </row>
    <row r="26" spans="1:11" s="66" customFormat="1" ht="21" customHeight="1">
      <c r="A26" s="84"/>
      <c r="B26" s="98" t="s">
        <v>199</v>
      </c>
      <c r="C26" s="87"/>
      <c r="D26" s="87"/>
      <c r="E26" s="99"/>
      <c r="F26" s="89">
        <f>(SUM(F12:F24)-F20-F16)*0.75</f>
        <v>278.5067035714286</v>
      </c>
      <c r="G26" s="77"/>
      <c r="H26" s="89"/>
      <c r="I26" s="78"/>
      <c r="K26" s="109"/>
    </row>
    <row r="27" spans="1:11" s="66" customFormat="1" ht="12" customHeight="1">
      <c r="A27" s="84"/>
      <c r="B27" s="14"/>
      <c r="C27" s="48"/>
      <c r="D27" s="48"/>
      <c r="E27" s="77"/>
      <c r="F27" s="78"/>
      <c r="G27" s="77"/>
      <c r="H27" s="77"/>
    </row>
    <row r="28" spans="1:11" s="66" customFormat="1" ht="20.25" customHeight="1">
      <c r="A28" s="74"/>
      <c r="B28" s="516" t="s">
        <v>398</v>
      </c>
      <c r="C28" s="517"/>
      <c r="D28" s="517"/>
      <c r="E28" s="85" t="s">
        <v>200</v>
      </c>
      <c r="F28" s="85" t="s">
        <v>201</v>
      </c>
    </row>
    <row r="29" spans="1:11" s="77" customFormat="1" ht="42.75" customHeight="1">
      <c r="A29" s="571">
        <v>1</v>
      </c>
      <c r="B29" s="572" t="s">
        <v>425</v>
      </c>
      <c r="C29" s="573" t="s">
        <v>426</v>
      </c>
      <c r="D29" s="574">
        <v>45</v>
      </c>
      <c r="E29" s="574">
        <v>70000</v>
      </c>
      <c r="F29" s="574">
        <f>D29*E29/10^5</f>
        <v>31.5</v>
      </c>
      <c r="K29" s="107"/>
    </row>
    <row r="30" spans="1:11" s="77" customFormat="1" ht="60.75" customHeight="1">
      <c r="A30" s="571">
        <v>2</v>
      </c>
      <c r="B30" s="575" t="s">
        <v>427</v>
      </c>
      <c r="C30" s="576" t="s">
        <v>426</v>
      </c>
      <c r="D30" s="577">
        <v>30</v>
      </c>
      <c r="E30" s="577">
        <v>70000</v>
      </c>
      <c r="F30" s="578">
        <f>D30*E30/10^5</f>
        <v>21</v>
      </c>
    </row>
    <row r="31" spans="1:11" s="79" customFormat="1" ht="15.6">
      <c r="A31" s="84"/>
      <c r="B31" s="12" t="s">
        <v>428</v>
      </c>
      <c r="C31" s="12"/>
      <c r="D31" s="12"/>
      <c r="E31" s="12"/>
      <c r="F31" s="13">
        <f>SUM(F29:F30)*0.95</f>
        <v>49.875</v>
      </c>
      <c r="G31" s="87"/>
      <c r="I31" s="81"/>
    </row>
    <row r="32" spans="1:11" s="72" customFormat="1" ht="18.75" customHeight="1">
      <c r="A32" s="85"/>
      <c r="B32" s="14" t="s">
        <v>400</v>
      </c>
      <c r="C32" s="73"/>
      <c r="D32" s="73"/>
      <c r="G32" s="66"/>
    </row>
    <row r="33" spans="1:10" s="77" customFormat="1" ht="30" customHeight="1">
      <c r="A33" s="83"/>
      <c r="B33" s="48" t="s">
        <v>185</v>
      </c>
      <c r="C33" s="48" t="s">
        <v>163</v>
      </c>
      <c r="D33" s="74" t="s">
        <v>183</v>
      </c>
      <c r="E33" s="48" t="s">
        <v>202</v>
      </c>
      <c r="F33" s="82" t="s">
        <v>184</v>
      </c>
      <c r="G33" s="85"/>
      <c r="H33" s="84"/>
      <c r="I33" s="85" t="s">
        <v>454</v>
      </c>
      <c r="J33" s="84"/>
    </row>
    <row r="34" spans="1:10" s="77" customFormat="1" ht="20.25" customHeight="1">
      <c r="A34" s="571">
        <v>1</v>
      </c>
      <c r="B34" s="581" t="s">
        <v>429</v>
      </c>
      <c r="C34" s="582" t="s">
        <v>430</v>
      </c>
      <c r="D34" s="583">
        <v>1770</v>
      </c>
      <c r="E34" s="584">
        <f>(252.3+0.8*219.65+0.2*201.83)/1.15</f>
        <v>407.29217391304354</v>
      </c>
      <c r="F34" s="82">
        <f>D34*E34/10^5</f>
        <v>7.2090714782608707</v>
      </c>
      <c r="G34" s="85"/>
      <c r="H34" s="84"/>
      <c r="I34" s="587" t="s">
        <v>455</v>
      </c>
      <c r="J34" s="84"/>
    </row>
    <row r="35" spans="1:10" s="77" customFormat="1" ht="20.25" customHeight="1">
      <c r="A35" s="571">
        <v>2</v>
      </c>
      <c r="B35" s="581" t="s">
        <v>431</v>
      </c>
      <c r="C35" s="582" t="s">
        <v>430</v>
      </c>
      <c r="D35" s="583">
        <v>100</v>
      </c>
      <c r="E35" s="584">
        <f>7761.25/1.15</f>
        <v>6748.913043478261</v>
      </c>
      <c r="F35" s="82">
        <f>D35*E35/10^5</f>
        <v>6.7489130434782609</v>
      </c>
      <c r="G35" s="85"/>
      <c r="H35" s="84"/>
      <c r="I35" s="587" t="s">
        <v>456</v>
      </c>
      <c r="J35" s="84"/>
    </row>
    <row r="36" spans="1:10" s="77" customFormat="1" ht="20.25" customHeight="1">
      <c r="A36" s="571">
        <v>3</v>
      </c>
      <c r="B36" s="581" t="s">
        <v>432</v>
      </c>
      <c r="C36" s="582" t="s">
        <v>430</v>
      </c>
      <c r="D36" s="583">
        <v>40</v>
      </c>
      <c r="E36" s="48">
        <v>8000</v>
      </c>
      <c r="F36" s="82">
        <f>D36*E36/10^5</f>
        <v>3.2</v>
      </c>
      <c r="G36" s="85"/>
      <c r="H36" s="84"/>
      <c r="I36" s="587" t="s">
        <v>457</v>
      </c>
      <c r="J36" s="84"/>
    </row>
    <row r="37" spans="1:10" s="77" customFormat="1" ht="20.25" customHeight="1">
      <c r="A37" s="571">
        <v>4</v>
      </c>
      <c r="B37" s="581" t="s">
        <v>433</v>
      </c>
      <c r="C37" s="582" t="s">
        <v>434</v>
      </c>
      <c r="D37" s="583">
        <v>4</v>
      </c>
      <c r="E37" s="48">
        <v>65000</v>
      </c>
      <c r="F37" s="82">
        <f>D37*E37/10^5</f>
        <v>2.6</v>
      </c>
      <c r="G37" s="85"/>
      <c r="H37" s="84"/>
      <c r="I37" s="587" t="s">
        <v>458</v>
      </c>
      <c r="J37" s="84"/>
    </row>
    <row r="38" spans="1:10" s="77" customFormat="1" ht="20.25" customHeight="1">
      <c r="A38" s="571">
        <v>5</v>
      </c>
      <c r="B38" s="581" t="s">
        <v>435</v>
      </c>
      <c r="C38" s="582" t="s">
        <v>430</v>
      </c>
      <c r="D38" s="583">
        <v>30</v>
      </c>
      <c r="E38" s="584">
        <f>7971.7/1.15</f>
        <v>6931.913043478261</v>
      </c>
      <c r="F38" s="82">
        <f t="shared" ref="F38:F53" si="0">D38*E38/10^5</f>
        <v>2.0795739130434785</v>
      </c>
      <c r="G38" s="85"/>
      <c r="H38" s="84"/>
      <c r="I38" s="587" t="s">
        <v>459</v>
      </c>
      <c r="J38" s="84"/>
    </row>
    <row r="39" spans="1:10" s="77" customFormat="1" ht="20.25" customHeight="1">
      <c r="A39" s="571">
        <v>6</v>
      </c>
      <c r="B39" s="581" t="s">
        <v>436</v>
      </c>
      <c r="C39" s="582" t="s">
        <v>437</v>
      </c>
      <c r="D39" s="583">
        <v>110</v>
      </c>
      <c r="E39" s="584">
        <f>365.25/1.15</f>
        <v>317.60869565217394</v>
      </c>
      <c r="F39" s="82">
        <f t="shared" si="0"/>
        <v>0.34936956521739138</v>
      </c>
      <c r="G39" s="85"/>
      <c r="H39" s="84"/>
      <c r="I39" s="587" t="s">
        <v>460</v>
      </c>
      <c r="J39" s="84"/>
    </row>
    <row r="40" spans="1:10" s="77" customFormat="1" ht="20.25" customHeight="1">
      <c r="A40" s="571">
        <v>7</v>
      </c>
      <c r="B40" s="581" t="s">
        <v>438</v>
      </c>
      <c r="C40" s="582" t="s">
        <v>437</v>
      </c>
      <c r="D40" s="583">
        <v>110</v>
      </c>
      <c r="E40" s="584">
        <f>307.9/1.15</f>
        <v>267.73913043478262</v>
      </c>
      <c r="F40" s="82">
        <f t="shared" si="0"/>
        <v>0.29451304347826091</v>
      </c>
      <c r="G40" s="85"/>
      <c r="H40" s="84"/>
      <c r="I40" s="587" t="s">
        <v>461</v>
      </c>
      <c r="J40" s="84"/>
    </row>
    <row r="41" spans="1:10" s="77" customFormat="1" ht="20.25" customHeight="1">
      <c r="A41" s="571">
        <v>8</v>
      </c>
      <c r="B41" s="581" t="s">
        <v>439</v>
      </c>
      <c r="C41" s="582" t="s">
        <v>437</v>
      </c>
      <c r="D41" s="583">
        <v>50</v>
      </c>
      <c r="E41" s="584">
        <f>227.35/1.15</f>
        <v>197.69565217391306</v>
      </c>
      <c r="F41" s="82">
        <f t="shared" si="0"/>
        <v>9.8847826086956539E-2</v>
      </c>
      <c r="G41" s="85"/>
      <c r="H41" s="84"/>
      <c r="I41" s="587" t="s">
        <v>462</v>
      </c>
      <c r="J41" s="84"/>
    </row>
    <row r="42" spans="1:10" s="77" customFormat="1" ht="20.25" customHeight="1">
      <c r="A42" s="571">
        <v>9</v>
      </c>
      <c r="B42" s="581" t="s">
        <v>440</v>
      </c>
      <c r="C42" s="582" t="s">
        <v>437</v>
      </c>
      <c r="D42" s="583">
        <v>110</v>
      </c>
      <c r="E42" s="584">
        <f>164.7/1.15</f>
        <v>143.21739130434781</v>
      </c>
      <c r="F42" s="82">
        <f t="shared" si="0"/>
        <v>0.1575391304347826</v>
      </c>
      <c r="G42" s="85"/>
      <c r="H42" s="84"/>
      <c r="I42" s="587" t="s">
        <v>463</v>
      </c>
      <c r="J42" s="84"/>
    </row>
    <row r="43" spans="1:10" s="77" customFormat="1" ht="20.25" customHeight="1">
      <c r="A43" s="571">
        <v>10</v>
      </c>
      <c r="B43" s="581" t="s">
        <v>441</v>
      </c>
      <c r="C43" s="582" t="s">
        <v>437</v>
      </c>
      <c r="D43" s="583">
        <v>160</v>
      </c>
      <c r="E43" s="584">
        <f>28.55/1.15</f>
        <v>24.826086956521742</v>
      </c>
      <c r="F43" s="82">
        <f t="shared" si="0"/>
        <v>3.9721739130434787E-2</v>
      </c>
      <c r="G43" s="85"/>
      <c r="H43" s="84"/>
      <c r="I43" s="587" t="s">
        <v>464</v>
      </c>
      <c r="J43" s="84"/>
    </row>
    <row r="44" spans="1:10" s="77" customFormat="1" ht="20.25" customHeight="1">
      <c r="A44" s="571">
        <v>11</v>
      </c>
      <c r="B44" s="581" t="s">
        <v>442</v>
      </c>
      <c r="C44" s="582" t="s">
        <v>430</v>
      </c>
      <c r="D44" s="583">
        <v>170</v>
      </c>
      <c r="E44" s="584">
        <f>(7753+767.25)/1.15</f>
        <v>7408.913043478261</v>
      </c>
      <c r="F44" s="82">
        <f t="shared" si="0"/>
        <v>12.595152173913045</v>
      </c>
      <c r="G44" s="85"/>
      <c r="H44" s="84"/>
      <c r="I44" s="587" t="s">
        <v>465</v>
      </c>
      <c r="J44" s="84"/>
    </row>
    <row r="45" spans="1:10" s="77" customFormat="1" ht="20.25" customHeight="1">
      <c r="A45" s="571">
        <v>12</v>
      </c>
      <c r="B45" s="581" t="s">
        <v>443</v>
      </c>
      <c r="C45" s="582" t="s">
        <v>437</v>
      </c>
      <c r="D45" s="583">
        <v>50</v>
      </c>
      <c r="E45" s="584">
        <f>498.35/1.15</f>
        <v>433.34782608695656</v>
      </c>
      <c r="F45" s="82">
        <f t="shared" si="0"/>
        <v>0.21667391304347827</v>
      </c>
      <c r="G45" s="85"/>
      <c r="H45" s="84"/>
      <c r="I45" s="587" t="s">
        <v>466</v>
      </c>
      <c r="J45" s="84"/>
    </row>
    <row r="46" spans="1:10" s="77" customFormat="1" ht="20.25" customHeight="1">
      <c r="A46" s="571">
        <v>13</v>
      </c>
      <c r="B46" s="581" t="s">
        <v>444</v>
      </c>
      <c r="C46" s="582" t="s">
        <v>437</v>
      </c>
      <c r="D46" s="583">
        <v>10</v>
      </c>
      <c r="E46" s="584">
        <f>(456.3*15+1296.4)/1.15</f>
        <v>7079.04347826087</v>
      </c>
      <c r="F46" s="82">
        <f t="shared" si="0"/>
        <v>0.70790434782608702</v>
      </c>
      <c r="G46" s="85"/>
      <c r="H46" s="84"/>
      <c r="I46" s="587" t="s">
        <v>467</v>
      </c>
      <c r="J46" s="84"/>
    </row>
    <row r="47" spans="1:10" s="77" customFormat="1" ht="20.25" customHeight="1">
      <c r="A47" s="571">
        <v>14</v>
      </c>
      <c r="B47" s="581" t="s">
        <v>445</v>
      </c>
      <c r="C47" s="582" t="s">
        <v>437</v>
      </c>
      <c r="D47" s="583">
        <v>20</v>
      </c>
      <c r="E47" s="584">
        <f>(456.3*15+1296.4)/1.15</f>
        <v>7079.04347826087</v>
      </c>
      <c r="F47" s="82">
        <f t="shared" si="0"/>
        <v>1.415808695652174</v>
      </c>
      <c r="G47" s="85"/>
      <c r="H47" s="84"/>
      <c r="I47" s="587" t="s">
        <v>467</v>
      </c>
      <c r="J47" s="84"/>
    </row>
    <row r="48" spans="1:10" s="77" customFormat="1" ht="20.25" customHeight="1">
      <c r="A48" s="571">
        <v>15</v>
      </c>
      <c r="B48" s="581" t="s">
        <v>446</v>
      </c>
      <c r="C48" s="582" t="s">
        <v>437</v>
      </c>
      <c r="D48" s="583">
        <v>70</v>
      </c>
      <c r="E48" s="584">
        <f>512.95/1.15</f>
        <v>446.04347826086962</v>
      </c>
      <c r="F48" s="82">
        <f t="shared" si="0"/>
        <v>0.3122304347826087</v>
      </c>
      <c r="G48" s="85"/>
      <c r="H48" s="84"/>
      <c r="I48" s="587" t="s">
        <v>468</v>
      </c>
      <c r="J48" s="84"/>
    </row>
    <row r="49" spans="1:10" s="77" customFormat="1" ht="20.25" customHeight="1">
      <c r="A49" s="571">
        <v>16</v>
      </c>
      <c r="B49" s="581" t="s">
        <v>447</v>
      </c>
      <c r="C49" s="582" t="s">
        <v>437</v>
      </c>
      <c r="D49" s="583">
        <v>5</v>
      </c>
      <c r="E49" s="584">
        <f>347.9/1.15</f>
        <v>302.52173913043481</v>
      </c>
      <c r="F49" s="82">
        <f t="shared" si="0"/>
        <v>1.5126086956521741E-2</v>
      </c>
      <c r="G49" s="85"/>
      <c r="H49" s="84"/>
      <c r="I49" s="587" t="s">
        <v>469</v>
      </c>
    </row>
    <row r="50" spans="1:10" s="77" customFormat="1" ht="16.5" customHeight="1">
      <c r="A50" s="571">
        <v>17</v>
      </c>
      <c r="B50" s="581" t="s">
        <v>448</v>
      </c>
      <c r="C50" s="582" t="s">
        <v>437</v>
      </c>
      <c r="D50" s="583">
        <v>20</v>
      </c>
      <c r="E50" s="584">
        <f>614.05/1.15</f>
        <v>533.95652173913038</v>
      </c>
      <c r="F50" s="82">
        <f t="shared" si="0"/>
        <v>0.10679130434782608</v>
      </c>
      <c r="G50" s="85"/>
      <c r="H50" s="84"/>
      <c r="I50" s="587" t="s">
        <v>470</v>
      </c>
    </row>
    <row r="51" spans="1:10" s="77" customFormat="1" ht="15" customHeight="1">
      <c r="A51" s="571">
        <v>18</v>
      </c>
      <c r="B51" s="581" t="s">
        <v>449</v>
      </c>
      <c r="C51" s="582" t="s">
        <v>430</v>
      </c>
      <c r="D51" s="583">
        <v>5</v>
      </c>
      <c r="E51" s="585">
        <f>8886.35/1.15</f>
        <v>7727.2608695652179</v>
      </c>
      <c r="F51" s="82">
        <f t="shared" si="0"/>
        <v>0.38636304347826089</v>
      </c>
      <c r="G51" s="85"/>
      <c r="H51" s="84"/>
      <c r="I51" s="587" t="s">
        <v>471</v>
      </c>
    </row>
    <row r="52" spans="1:10" s="79" customFormat="1" ht="15.6">
      <c r="A52" s="571">
        <v>19</v>
      </c>
      <c r="B52" s="581" t="s">
        <v>450</v>
      </c>
      <c r="C52" s="582" t="s">
        <v>451</v>
      </c>
      <c r="D52" s="583">
        <v>100</v>
      </c>
      <c r="E52" s="585">
        <f>290.8/1.15</f>
        <v>252.86956521739134</v>
      </c>
      <c r="F52" s="82">
        <f t="shared" si="0"/>
        <v>0.25286956521739135</v>
      </c>
      <c r="G52" s="87"/>
      <c r="I52" s="587" t="s">
        <v>472</v>
      </c>
    </row>
    <row r="53" spans="1:10" s="79" customFormat="1" ht="24" customHeight="1">
      <c r="A53" s="571">
        <v>20</v>
      </c>
      <c r="B53" s="581" t="s">
        <v>452</v>
      </c>
      <c r="C53" s="582" t="s">
        <v>453</v>
      </c>
      <c r="D53" s="583">
        <v>1</v>
      </c>
      <c r="E53" s="586">
        <v>65000</v>
      </c>
      <c r="F53" s="82">
        <f t="shared" si="0"/>
        <v>0.65</v>
      </c>
      <c r="G53" s="48"/>
      <c r="I53" s="587" t="s">
        <v>473</v>
      </c>
    </row>
    <row r="54" spans="1:10" s="72" customFormat="1" ht="27.75" customHeight="1">
      <c r="A54" s="84"/>
      <c r="B54" s="12" t="s">
        <v>401</v>
      </c>
      <c r="C54" s="12"/>
      <c r="D54" s="12"/>
      <c r="E54" s="12"/>
      <c r="F54" s="13">
        <f>(SUM(F34:F53))*0.8</f>
        <v>31.549175443478255</v>
      </c>
      <c r="G54" s="66"/>
    </row>
    <row r="55" spans="1:10" s="77" customFormat="1" ht="20.25" customHeight="1">
      <c r="A55" s="83"/>
      <c r="B55" s="48" t="s">
        <v>185</v>
      </c>
      <c r="C55" s="48" t="s">
        <v>163</v>
      </c>
      <c r="D55" s="74" t="s">
        <v>183</v>
      </c>
      <c r="E55" s="48" t="s">
        <v>202</v>
      </c>
      <c r="F55" s="82" t="s">
        <v>184</v>
      </c>
      <c r="G55" s="85"/>
      <c r="H55" s="84"/>
      <c r="I55" s="85" t="s">
        <v>193</v>
      </c>
      <c r="J55" s="84"/>
    </row>
    <row r="56" spans="1:10" s="77" customFormat="1" ht="20.25" customHeight="1">
      <c r="A56" s="588">
        <v>1</v>
      </c>
      <c r="B56" s="581" t="s">
        <v>429</v>
      </c>
      <c r="C56" s="582" t="s">
        <v>430</v>
      </c>
      <c r="D56" s="589">
        <v>1230</v>
      </c>
      <c r="E56" s="584">
        <f>(252.3+0.8*219.65+0.2*201.83)/1.15</f>
        <v>407.29217391304354</v>
      </c>
      <c r="F56" s="82">
        <f>D56*E56/10^5</f>
        <v>5.0096937391304355</v>
      </c>
      <c r="G56" s="85"/>
      <c r="H56" s="84"/>
      <c r="I56" s="587" t="s">
        <v>455</v>
      </c>
      <c r="J56" s="84"/>
    </row>
    <row r="57" spans="1:10" s="77" customFormat="1" ht="20.25" customHeight="1">
      <c r="A57" s="588">
        <v>2</v>
      </c>
      <c r="B57" s="581" t="s">
        <v>431</v>
      </c>
      <c r="C57" s="582" t="s">
        <v>430</v>
      </c>
      <c r="D57" s="589">
        <v>30</v>
      </c>
      <c r="E57" s="584">
        <f>7761.25/1.15</f>
        <v>6748.913043478261</v>
      </c>
      <c r="F57" s="82">
        <f t="shared" ref="F57:F62" si="1">D57*E57/10^5</f>
        <v>2.0246739130434785</v>
      </c>
      <c r="G57" s="85"/>
      <c r="H57" s="84"/>
      <c r="I57" s="587" t="s">
        <v>456</v>
      </c>
      <c r="J57" s="84"/>
    </row>
    <row r="58" spans="1:10" s="77" customFormat="1" ht="20.25" customHeight="1">
      <c r="A58" s="588">
        <v>3</v>
      </c>
      <c r="B58" s="581" t="s">
        <v>432</v>
      </c>
      <c r="C58" s="582" t="s">
        <v>430</v>
      </c>
      <c r="D58" s="589">
        <v>260</v>
      </c>
      <c r="E58" s="48">
        <v>8000</v>
      </c>
      <c r="F58" s="82">
        <f t="shared" si="1"/>
        <v>20.8</v>
      </c>
      <c r="G58" s="85"/>
      <c r="H58" s="84"/>
      <c r="I58" s="587" t="s">
        <v>457</v>
      </c>
      <c r="J58" s="84"/>
    </row>
    <row r="59" spans="1:10" s="77" customFormat="1" ht="20.25" customHeight="1">
      <c r="A59" s="588">
        <v>4</v>
      </c>
      <c r="B59" s="581" t="s">
        <v>474</v>
      </c>
      <c r="C59" s="582" t="s">
        <v>430</v>
      </c>
      <c r="D59" s="589">
        <v>2</v>
      </c>
      <c r="E59" s="584">
        <f>(7997.3+69.75+5*609.3)/1.15</f>
        <v>9663.95652173913</v>
      </c>
      <c r="F59" s="82">
        <f t="shared" si="1"/>
        <v>0.19327913043478259</v>
      </c>
      <c r="G59" s="85"/>
      <c r="H59" s="84"/>
      <c r="I59" s="587" t="s">
        <v>478</v>
      </c>
      <c r="J59" s="84"/>
    </row>
    <row r="60" spans="1:10" s="77" customFormat="1" ht="20.25" customHeight="1">
      <c r="A60" s="588">
        <v>5</v>
      </c>
      <c r="B60" s="581" t="s">
        <v>433</v>
      </c>
      <c r="C60" s="582" t="s">
        <v>434</v>
      </c>
      <c r="D60" s="589">
        <v>45</v>
      </c>
      <c r="E60" s="48">
        <v>65000</v>
      </c>
      <c r="F60" s="82">
        <f t="shared" si="1"/>
        <v>29.25</v>
      </c>
      <c r="G60" s="85"/>
      <c r="H60" s="84"/>
      <c r="I60" s="587" t="s">
        <v>458</v>
      </c>
      <c r="J60" s="84"/>
    </row>
    <row r="61" spans="1:10" s="77" customFormat="1" ht="44.25" customHeight="1">
      <c r="A61" s="588">
        <v>6</v>
      </c>
      <c r="B61" s="581" t="s">
        <v>475</v>
      </c>
      <c r="C61" s="582" t="s">
        <v>434</v>
      </c>
      <c r="D61" s="589">
        <v>1.3</v>
      </c>
      <c r="E61" s="48">
        <v>65000</v>
      </c>
      <c r="F61" s="82">
        <f t="shared" si="1"/>
        <v>0.84499999999999997</v>
      </c>
      <c r="G61" s="85"/>
      <c r="H61" s="84"/>
      <c r="I61" s="591" t="s">
        <v>473</v>
      </c>
      <c r="J61" s="84"/>
    </row>
    <row r="62" spans="1:10" s="77" customFormat="1" ht="20.25" customHeight="1">
      <c r="A62" s="588">
        <v>7</v>
      </c>
      <c r="B62" s="581" t="s">
        <v>476</v>
      </c>
      <c r="C62" s="582" t="s">
        <v>477</v>
      </c>
      <c r="D62" s="589">
        <v>400</v>
      </c>
      <c r="E62" s="590">
        <f>4225.6/1.15</f>
        <v>3674.4347826086964</v>
      </c>
      <c r="F62" s="82">
        <f t="shared" si="1"/>
        <v>14.697739130434785</v>
      </c>
      <c r="G62" s="85"/>
      <c r="H62" s="84"/>
      <c r="I62" s="592" t="s">
        <v>479</v>
      </c>
      <c r="J62" s="84"/>
    </row>
    <row r="63" spans="1:10" s="77" customFormat="1" ht="27" customHeight="1">
      <c r="A63" s="84"/>
      <c r="B63" s="12" t="s">
        <v>399</v>
      </c>
      <c r="C63" s="12"/>
      <c r="D63" s="12"/>
      <c r="E63" s="12"/>
      <c r="F63" s="13">
        <f>(SUM(F56:F62))*0.8</f>
        <v>58.256308730434789</v>
      </c>
      <c r="G63" s="85"/>
      <c r="H63" s="84"/>
      <c r="I63" s="580"/>
      <c r="J63" s="84"/>
    </row>
    <row r="64" spans="1:10" s="77" customFormat="1" ht="20.25" customHeight="1">
      <c r="A64" s="83"/>
      <c r="B64" s="579"/>
      <c r="C64" s="48"/>
      <c r="D64" s="74"/>
      <c r="E64" s="48"/>
      <c r="F64" s="82"/>
      <c r="G64" s="85"/>
      <c r="H64" s="84"/>
      <c r="I64" s="580"/>
      <c r="J64" s="84"/>
    </row>
    <row r="65" spans="1:10" s="77" customFormat="1" ht="20.25" customHeight="1">
      <c r="A65" s="83"/>
      <c r="B65" s="579"/>
      <c r="C65" s="48"/>
      <c r="D65" s="74"/>
      <c r="E65" s="48"/>
      <c r="F65" s="82"/>
      <c r="G65" s="85"/>
      <c r="H65" s="84"/>
      <c r="I65" s="580"/>
      <c r="J65" s="84"/>
    </row>
    <row r="66" spans="1:10" s="77" customFormat="1" ht="20.25" customHeight="1">
      <c r="A66" s="83"/>
      <c r="B66" s="579"/>
      <c r="C66" s="48"/>
      <c r="D66" s="74"/>
      <c r="E66" s="48"/>
      <c r="F66" s="82"/>
      <c r="G66" s="85"/>
      <c r="H66" s="84"/>
      <c r="I66" s="580"/>
      <c r="J66" s="84"/>
    </row>
    <row r="67" spans="1:10" s="77" customFormat="1" ht="20.25" customHeight="1">
      <c r="A67" s="83"/>
      <c r="B67" s="579"/>
      <c r="C67" s="48"/>
      <c r="D67" s="74"/>
      <c r="E67" s="48"/>
      <c r="F67" s="82"/>
      <c r="G67" s="85"/>
      <c r="H67" s="84"/>
      <c r="I67" s="580"/>
      <c r="J67" s="84"/>
    </row>
    <row r="68" spans="1:10" s="77" customFormat="1" ht="20.25" customHeight="1">
      <c r="A68" s="83"/>
      <c r="B68" s="579"/>
      <c r="C68" s="48"/>
      <c r="D68" s="74"/>
      <c r="E68" s="48"/>
      <c r="F68" s="82"/>
      <c r="G68" s="85"/>
      <c r="H68" s="84"/>
      <c r="I68" s="580"/>
      <c r="J68" s="84"/>
    </row>
    <row r="69" spans="1:10" s="77" customFormat="1" ht="20.25" customHeight="1">
      <c r="A69" s="83"/>
      <c r="B69" s="579"/>
      <c r="C69" s="48"/>
      <c r="D69" s="74"/>
      <c r="E69" s="48"/>
      <c r="F69" s="82"/>
      <c r="G69" s="85"/>
      <c r="H69" s="84"/>
      <c r="I69" s="580"/>
      <c r="J69" s="84"/>
    </row>
    <row r="70" spans="1:10" s="77" customFormat="1" ht="20.25" customHeight="1">
      <c r="A70" s="83"/>
      <c r="B70" s="579"/>
      <c r="C70" s="48"/>
      <c r="D70" s="74"/>
      <c r="E70" s="48"/>
      <c r="F70" s="82"/>
      <c r="G70" s="85"/>
      <c r="H70" s="84"/>
      <c r="I70" s="580"/>
      <c r="J70" s="84"/>
    </row>
    <row r="71" spans="1:10" s="77" customFormat="1" ht="20.25" customHeight="1">
      <c r="A71" s="83"/>
      <c r="B71" s="579"/>
      <c r="C71" s="48"/>
      <c r="D71" s="74"/>
      <c r="E71" s="48"/>
      <c r="F71" s="82"/>
      <c r="G71" s="85"/>
      <c r="H71" s="84"/>
      <c r="I71" s="580"/>
      <c r="J71" s="84"/>
    </row>
    <row r="72" spans="1:10" s="77" customFormat="1" ht="20.25" customHeight="1">
      <c r="A72" s="83"/>
      <c r="B72" s="579"/>
      <c r="C72" s="48"/>
      <c r="D72" s="74"/>
      <c r="E72" s="48"/>
      <c r="F72" s="82"/>
      <c r="G72" s="85"/>
      <c r="H72" s="84"/>
      <c r="I72" s="580"/>
      <c r="J72" s="84"/>
    </row>
    <row r="73" spans="1:10" s="77" customFormat="1" ht="20.25" customHeight="1">
      <c r="A73" s="83"/>
      <c r="B73" s="579"/>
      <c r="C73" s="48"/>
      <c r="D73" s="74"/>
      <c r="E73" s="48"/>
      <c r="F73" s="82"/>
      <c r="G73" s="85"/>
      <c r="H73" s="84"/>
      <c r="I73" s="580"/>
      <c r="J73" s="84"/>
    </row>
    <row r="74" spans="1:10" s="77" customFormat="1" ht="20.25" customHeight="1">
      <c r="A74" s="83"/>
      <c r="B74" s="265"/>
      <c r="C74" s="101"/>
      <c r="D74" s="262"/>
      <c r="E74" s="123"/>
      <c r="F74" s="78"/>
      <c r="G74" s="85"/>
      <c r="H74" s="84"/>
      <c r="I74" s="266"/>
    </row>
    <row r="75" spans="1:10" s="77" customFormat="1" ht="16.5" customHeight="1">
      <c r="A75" s="83"/>
      <c r="B75" s="265"/>
      <c r="C75" s="101"/>
      <c r="D75" s="262"/>
      <c r="E75" s="123"/>
      <c r="F75" s="78"/>
      <c r="G75" s="85"/>
      <c r="H75" s="84"/>
      <c r="I75" s="266"/>
    </row>
    <row r="76" spans="1:10" s="77" customFormat="1" ht="15" customHeight="1">
      <c r="A76" s="83"/>
      <c r="B76" s="265"/>
      <c r="C76" s="101"/>
      <c r="D76" s="262"/>
      <c r="E76" s="123"/>
      <c r="F76" s="78"/>
      <c r="G76" s="85"/>
      <c r="H76" s="84"/>
      <c r="I76" s="266"/>
    </row>
    <row r="77" spans="1:10" s="79" customFormat="1" ht="15.6">
      <c r="A77" s="84"/>
      <c r="B77" s="12"/>
      <c r="C77" s="12"/>
      <c r="D77" s="12"/>
      <c r="E77" s="12"/>
      <c r="F77" s="13"/>
      <c r="G77" s="87"/>
      <c r="I77" s="81"/>
    </row>
    <row r="78" spans="1:10" s="520" customFormat="1" ht="9.75" customHeight="1">
      <c r="A78" s="519"/>
      <c r="B78" s="522"/>
      <c r="C78" s="522"/>
      <c r="D78" s="522"/>
      <c r="E78" s="522"/>
      <c r="F78" s="523"/>
      <c r="G78" s="524"/>
      <c r="I78" s="521"/>
    </row>
    <row r="79" spans="1:10" s="520" customFormat="1" ht="15.6">
      <c r="A79" s="519"/>
      <c r="B79" s="522"/>
      <c r="C79" s="522"/>
      <c r="D79" s="522"/>
      <c r="E79" s="522"/>
      <c r="F79" s="523"/>
      <c r="G79" s="524"/>
      <c r="I79" s="521"/>
    </row>
    <row r="80" spans="1:10" s="520" customFormat="1">
      <c r="A80" s="519"/>
      <c r="B80" s="252"/>
      <c r="C80" s="246"/>
      <c r="D80" s="253"/>
      <c r="E80" s="257"/>
      <c r="F80" s="78"/>
      <c r="G80" s="77"/>
      <c r="H80" s="77"/>
      <c r="I80" s="247"/>
    </row>
    <row r="81" spans="1:11" s="520" customFormat="1">
      <c r="A81" s="519"/>
      <c r="B81" s="251"/>
      <c r="C81" s="254"/>
      <c r="D81" s="253"/>
      <c r="E81" s="257"/>
      <c r="F81" s="78"/>
      <c r="G81" s="117"/>
      <c r="H81" s="118"/>
      <c r="I81" s="267"/>
    </row>
    <row r="82" spans="1:11" s="520" customFormat="1" ht="15.6">
      <c r="A82" s="519"/>
      <c r="B82" s="98"/>
      <c r="C82" s="87"/>
      <c r="D82" s="87"/>
      <c r="E82" s="99"/>
      <c r="F82" s="89"/>
      <c r="G82" s="77"/>
      <c r="H82" s="89"/>
      <c r="I82" s="78"/>
    </row>
    <row r="83" spans="1:11" s="520" customFormat="1" ht="11.25" customHeight="1">
      <c r="A83" s="519"/>
      <c r="B83" s="528"/>
      <c r="C83" s="524"/>
      <c r="D83" s="524"/>
      <c r="E83" s="526"/>
      <c r="F83" s="529"/>
      <c r="G83" s="526"/>
      <c r="H83" s="529"/>
      <c r="I83" s="527"/>
    </row>
    <row r="84" spans="1:11" s="520" customFormat="1" ht="15.6">
      <c r="A84" s="519"/>
      <c r="B84" s="80"/>
      <c r="C84" s="80"/>
      <c r="D84" s="80"/>
      <c r="E84" s="80"/>
      <c r="F84" s="90"/>
      <c r="G84" s="48"/>
      <c r="H84" s="79"/>
      <c r="I84" s="81"/>
    </row>
    <row r="85" spans="1:11" s="520" customFormat="1">
      <c r="A85" s="519"/>
      <c r="B85" s="252"/>
      <c r="C85" s="246"/>
      <c r="D85" s="253"/>
      <c r="E85" s="257"/>
      <c r="F85" s="78"/>
      <c r="G85" s="123"/>
      <c r="H85" s="77"/>
      <c r="I85" s="247"/>
    </row>
    <row r="86" spans="1:11" s="520" customFormat="1">
      <c r="A86" s="519"/>
      <c r="B86" s="252"/>
      <c r="C86" s="246"/>
      <c r="D86" s="253"/>
      <c r="E86" s="257"/>
      <c r="F86" s="78"/>
      <c r="G86" s="533"/>
      <c r="H86" s="530"/>
      <c r="I86" s="531"/>
    </row>
    <row r="87" spans="1:11" s="520" customFormat="1" ht="15.6">
      <c r="A87" s="519"/>
      <c r="B87" s="98"/>
      <c r="C87" s="87"/>
      <c r="D87" s="87"/>
      <c r="E87" s="99"/>
      <c r="F87" s="89"/>
      <c r="G87" s="77"/>
      <c r="H87" s="89"/>
      <c r="I87" s="78"/>
    </row>
    <row r="88" spans="1:11" s="520" customFormat="1" ht="15.6">
      <c r="A88" s="519"/>
      <c r="B88" s="532"/>
      <c r="C88" s="48"/>
      <c r="D88" s="48"/>
      <c r="E88" s="77"/>
      <c r="F88" s="82"/>
      <c r="G88" s="77"/>
      <c r="H88" s="82"/>
      <c r="I88" s="78"/>
    </row>
    <row r="89" spans="1:11" s="520" customFormat="1" ht="15.6">
      <c r="A89" s="519"/>
      <c r="B89" s="80"/>
      <c r="C89" s="80"/>
      <c r="D89" s="80"/>
      <c r="E89" s="80"/>
      <c r="F89" s="90"/>
      <c r="G89" s="48"/>
      <c r="H89" s="79"/>
      <c r="I89" s="81"/>
    </row>
    <row r="90" spans="1:11" s="520" customFormat="1">
      <c r="A90" s="519"/>
      <c r="B90" s="252"/>
      <c r="C90" s="246"/>
      <c r="D90" s="253"/>
      <c r="E90" s="257"/>
      <c r="F90" s="78"/>
      <c r="G90" s="123"/>
      <c r="H90" s="77"/>
      <c r="I90" s="247"/>
    </row>
    <row r="91" spans="1:11" s="520" customFormat="1">
      <c r="A91" s="519"/>
      <c r="B91" s="252"/>
      <c r="C91" s="246"/>
      <c r="D91" s="253"/>
      <c r="E91" s="257"/>
      <c r="F91" s="78"/>
      <c r="G91" s="533"/>
      <c r="H91" s="530"/>
      <c r="I91" s="531"/>
    </row>
    <row r="92" spans="1:11" s="520" customFormat="1" ht="15.6">
      <c r="A92" s="519"/>
      <c r="B92" s="98"/>
      <c r="C92" s="87"/>
      <c r="D92" s="87"/>
      <c r="E92" s="99"/>
      <c r="F92" s="89"/>
      <c r="G92" s="77"/>
      <c r="H92" s="89"/>
      <c r="I92" s="78"/>
    </row>
    <row r="93" spans="1:11" ht="13.5" customHeight="1"/>
    <row r="94" spans="1:11" s="106" customFormat="1" ht="33" customHeight="1">
      <c r="A94" s="83"/>
      <c r="B94" s="294"/>
      <c r="C94" s="74"/>
      <c r="D94" s="74"/>
      <c r="E94" s="75"/>
      <c r="F94" s="75"/>
      <c r="G94" s="75"/>
      <c r="H94" s="75"/>
      <c r="I94" s="747"/>
      <c r="J94" s="748"/>
      <c r="K94" s="75"/>
    </row>
    <row r="95" spans="1:11" s="66" customFormat="1" ht="18.75" customHeight="1">
      <c r="A95" s="84"/>
      <c r="B95" s="14"/>
      <c r="C95" s="48"/>
      <c r="D95" s="48"/>
      <c r="E95" s="77"/>
      <c r="F95" s="78"/>
      <c r="G95" s="77"/>
      <c r="H95" s="77"/>
    </row>
    <row r="96" spans="1:11" s="66" customFormat="1" ht="21.75" customHeight="1">
      <c r="A96" s="84"/>
      <c r="B96" s="249"/>
      <c r="C96" s="246"/>
      <c r="D96" s="242"/>
      <c r="E96" s="243"/>
      <c r="F96" s="78"/>
      <c r="G96" s="77"/>
      <c r="H96" s="77"/>
      <c r="I96" s="244"/>
      <c r="J96" s="244"/>
    </row>
    <row r="97" spans="1:10" s="66" customFormat="1" ht="17.25" customHeight="1">
      <c r="A97" s="84"/>
      <c r="B97" s="250"/>
      <c r="C97" s="246"/>
      <c r="D97" s="242"/>
      <c r="E97" s="243"/>
      <c r="F97" s="78"/>
      <c r="G97" s="77"/>
      <c r="H97" s="77"/>
      <c r="I97" s="245"/>
      <c r="J97" s="123"/>
    </row>
    <row r="98" spans="1:10" s="66" customFormat="1" ht="23.25" customHeight="1">
      <c r="A98" s="84"/>
      <c r="B98" s="251"/>
      <c r="C98" s="254"/>
      <c r="D98" s="253"/>
      <c r="E98" s="119"/>
      <c r="F98" s="120"/>
      <c r="G98" s="256"/>
      <c r="H98" s="258"/>
      <c r="I98" s="267"/>
      <c r="J98" s="123"/>
    </row>
    <row r="99" spans="1:10" s="66" customFormat="1" ht="20.25" customHeight="1">
      <c r="A99" s="84"/>
      <c r="B99" s="514"/>
      <c r="C99" s="48"/>
      <c r="D99" s="48"/>
      <c r="E99" s="77"/>
      <c r="F99" s="78"/>
      <c r="G99" s="77"/>
      <c r="H99" s="77"/>
      <c r="I99" s="108"/>
    </row>
    <row r="100" spans="1:10" s="66" customFormat="1" ht="18.75" customHeight="1">
      <c r="A100" s="84"/>
      <c r="B100" s="14"/>
      <c r="C100" s="48"/>
      <c r="D100" s="48"/>
      <c r="E100" s="77"/>
      <c r="F100" s="78"/>
      <c r="G100" s="77"/>
      <c r="H100" s="77"/>
    </row>
    <row r="101" spans="1:10" s="66" customFormat="1" ht="21.75" customHeight="1">
      <c r="A101" s="84"/>
      <c r="B101" s="249"/>
      <c r="C101" s="246"/>
      <c r="D101" s="242"/>
      <c r="E101" s="243"/>
      <c r="F101" s="78"/>
      <c r="G101" s="77"/>
      <c r="H101" s="77"/>
      <c r="I101" s="244"/>
      <c r="J101" s="244"/>
    </row>
    <row r="102" spans="1:10" s="66" customFormat="1" ht="17.25" customHeight="1">
      <c r="A102" s="84"/>
      <c r="B102" s="250"/>
      <c r="C102" s="246"/>
      <c r="D102" s="242"/>
      <c r="E102" s="243"/>
      <c r="F102" s="78"/>
      <c r="G102" s="77"/>
      <c r="H102" s="77"/>
      <c r="I102" s="245"/>
      <c r="J102" s="123"/>
    </row>
    <row r="103" spans="1:10" s="66" customFormat="1" ht="23.25" customHeight="1">
      <c r="A103" s="84"/>
      <c r="B103" s="251"/>
      <c r="C103" s="254"/>
      <c r="D103" s="253"/>
      <c r="E103" s="119"/>
      <c r="F103" s="120"/>
      <c r="G103" s="256"/>
      <c r="H103" s="258"/>
      <c r="I103" s="267"/>
      <c r="J103" s="123"/>
    </row>
    <row r="104" spans="1:10" s="66" customFormat="1" ht="20.25" customHeight="1">
      <c r="A104" s="84"/>
      <c r="B104" s="514"/>
      <c r="C104" s="48"/>
      <c r="D104" s="48"/>
      <c r="E104" s="77"/>
      <c r="F104" s="78"/>
      <c r="G104" s="77"/>
      <c r="H104" s="77"/>
      <c r="I104" s="108"/>
    </row>
    <row r="105" spans="1:10" s="66" customFormat="1" ht="20.25" customHeight="1">
      <c r="A105" s="84"/>
      <c r="B105" s="14"/>
      <c r="C105" s="48"/>
      <c r="D105" s="48"/>
      <c r="E105" s="77"/>
      <c r="F105" s="78"/>
      <c r="G105" s="77"/>
      <c r="H105" s="77"/>
      <c r="I105" s="509"/>
    </row>
    <row r="106" spans="1:10" s="66" customFormat="1" ht="20.25" customHeight="1">
      <c r="A106" s="84"/>
      <c r="B106" s="250"/>
      <c r="C106" s="246"/>
      <c r="D106" s="242"/>
      <c r="E106" s="243"/>
      <c r="F106" s="78"/>
      <c r="G106" s="77"/>
      <c r="H106" s="77"/>
      <c r="I106" s="244"/>
      <c r="J106" s="123"/>
    </row>
    <row r="107" spans="1:10" s="66" customFormat="1" ht="19.5" customHeight="1">
      <c r="A107" s="84"/>
      <c r="B107" s="250"/>
      <c r="C107" s="246"/>
      <c r="D107" s="242"/>
      <c r="E107" s="243"/>
      <c r="F107" s="78"/>
      <c r="G107" s="77"/>
      <c r="H107" s="77"/>
      <c r="I107" s="245"/>
      <c r="J107" s="123"/>
    </row>
    <row r="108" spans="1:10" s="66" customFormat="1" ht="23.25" customHeight="1">
      <c r="A108" s="84"/>
      <c r="B108" s="251"/>
      <c r="C108" s="254"/>
      <c r="D108" s="253"/>
      <c r="E108" s="119"/>
      <c r="F108" s="120"/>
      <c r="G108" s="256"/>
      <c r="H108" s="258"/>
      <c r="I108" s="267"/>
      <c r="J108" s="123"/>
    </row>
    <row r="109" spans="1:10" s="77" customFormat="1" ht="23.25" customHeight="1">
      <c r="A109" s="84"/>
      <c r="B109" s="514"/>
      <c r="C109" s="510"/>
      <c r="D109" s="511"/>
      <c r="E109" s="512"/>
      <c r="F109" s="120"/>
      <c r="G109" s="513"/>
      <c r="H109" s="118"/>
      <c r="I109" s="108"/>
      <c r="J109" s="66"/>
    </row>
    <row r="110" spans="1:10" s="66" customFormat="1" ht="16.5" customHeight="1">
      <c r="A110" s="84"/>
      <c r="B110" s="14"/>
      <c r="C110" s="48"/>
      <c r="D110" s="48"/>
      <c r="E110" s="77"/>
      <c r="F110" s="78"/>
      <c r="G110" s="77"/>
      <c r="H110" s="77"/>
      <c r="I110" s="78"/>
      <c r="J110" s="77"/>
    </row>
    <row r="111" spans="1:10" s="66" customFormat="1" ht="19.5" customHeight="1">
      <c r="A111" s="84"/>
      <c r="B111" s="252"/>
      <c r="C111" s="246"/>
      <c r="D111" s="242"/>
      <c r="E111" s="243"/>
      <c r="F111" s="78"/>
      <c r="G111" s="77"/>
      <c r="H111" s="77"/>
      <c r="I111" s="248"/>
      <c r="J111" s="123"/>
    </row>
    <row r="112" spans="1:10" s="66" customFormat="1" ht="18" customHeight="1">
      <c r="A112" s="84"/>
      <c r="B112" s="251"/>
      <c r="C112" s="246"/>
      <c r="D112" s="242"/>
      <c r="E112" s="243"/>
      <c r="F112" s="78"/>
      <c r="G112" s="77"/>
      <c r="H112" s="77"/>
      <c r="I112" s="248"/>
      <c r="J112" s="123"/>
    </row>
    <row r="113" spans="1:11" s="66" customFormat="1" ht="23.25" customHeight="1">
      <c r="A113" s="84"/>
      <c r="B113" s="252"/>
      <c r="C113" s="254"/>
      <c r="D113" s="253"/>
      <c r="E113" s="119"/>
      <c r="F113" s="120"/>
      <c r="G113" s="256"/>
      <c r="H113" s="258"/>
      <c r="I113" s="267"/>
      <c r="J113" s="123"/>
    </row>
    <row r="114" spans="1:11" s="66" customFormat="1" ht="19.5" customHeight="1">
      <c r="A114" s="84"/>
      <c r="B114" s="514"/>
      <c r="C114" s="48"/>
      <c r="D114" s="48"/>
      <c r="E114" s="77"/>
      <c r="F114" s="78"/>
      <c r="G114" s="77"/>
      <c r="H114" s="77"/>
      <c r="I114" s="108"/>
    </row>
    <row r="115" spans="1:11" s="66" customFormat="1" ht="19.5" customHeight="1">
      <c r="A115" s="84"/>
      <c r="B115" s="14"/>
      <c r="C115" s="48"/>
      <c r="D115" s="48"/>
      <c r="E115" s="77"/>
      <c r="F115" s="78"/>
      <c r="G115" s="77"/>
      <c r="H115" s="77"/>
      <c r="I115" s="78"/>
    </row>
    <row r="116" spans="1:11" s="66" customFormat="1" ht="19.5" customHeight="1">
      <c r="A116" s="84"/>
      <c r="B116" s="252"/>
      <c r="C116" s="246"/>
      <c r="D116" s="253"/>
      <c r="E116" s="257"/>
      <c r="F116" s="78"/>
      <c r="G116" s="77"/>
      <c r="H116" s="77"/>
      <c r="I116" s="247"/>
      <c r="J116" s="123"/>
    </row>
    <row r="117" spans="1:11" s="66" customFormat="1" ht="18" customHeight="1">
      <c r="A117" s="84"/>
      <c r="B117" s="251"/>
      <c r="C117" s="246"/>
      <c r="D117" s="242"/>
      <c r="E117" s="243"/>
      <c r="F117" s="78"/>
      <c r="G117" s="77"/>
      <c r="H117" s="77"/>
      <c r="I117" s="248"/>
      <c r="J117" s="123"/>
    </row>
    <row r="118" spans="1:11" s="66" customFormat="1" ht="23.25" customHeight="1">
      <c r="A118" s="84"/>
      <c r="B118" s="252"/>
      <c r="C118" s="254"/>
      <c r="D118" s="253"/>
      <c r="E118" s="119"/>
      <c r="F118" s="120"/>
      <c r="G118" s="255"/>
      <c r="H118" s="258"/>
      <c r="I118" s="267"/>
      <c r="J118" s="123"/>
    </row>
    <row r="119" spans="1:11" s="77" customFormat="1" ht="30.75" customHeight="1">
      <c r="A119" s="84"/>
      <c r="B119" s="514"/>
      <c r="C119" s="510"/>
      <c r="D119" s="511"/>
      <c r="E119" s="512"/>
      <c r="F119" s="120"/>
      <c r="G119" s="117"/>
      <c r="H119" s="118"/>
      <c r="I119" s="108"/>
    </row>
    <row r="120" spans="1:11" s="66" customFormat="1" ht="19.5" customHeight="1">
      <c r="A120" s="84"/>
      <c r="B120" s="14"/>
      <c r="C120" s="48"/>
      <c r="D120" s="48"/>
      <c r="E120" s="77"/>
      <c r="F120" s="78"/>
      <c r="G120" s="77"/>
      <c r="H120" s="77"/>
      <c r="I120" s="78"/>
      <c r="J120" s="77"/>
    </row>
    <row r="121" spans="1:11" s="66" customFormat="1" ht="23.25" customHeight="1">
      <c r="A121" s="84"/>
      <c r="B121" s="252"/>
      <c r="C121" s="246"/>
      <c r="D121" s="253"/>
      <c r="E121" s="257"/>
      <c r="F121" s="78"/>
      <c r="G121" s="77"/>
      <c r="H121" s="77"/>
      <c r="I121" s="267"/>
      <c r="J121" s="123"/>
    </row>
    <row r="122" spans="1:11" s="66" customFormat="1" ht="18" customHeight="1">
      <c r="A122" s="84"/>
      <c r="B122" s="251"/>
      <c r="C122" s="246"/>
      <c r="D122" s="242"/>
      <c r="E122" s="243"/>
      <c r="F122" s="78"/>
      <c r="G122" s="77"/>
      <c r="H122" s="77"/>
      <c r="I122" s="248"/>
      <c r="J122" s="123"/>
    </row>
    <row r="123" spans="1:11" s="66" customFormat="1" ht="23.25" customHeight="1">
      <c r="A123" s="84"/>
      <c r="B123" s="252"/>
      <c r="C123" s="254"/>
      <c r="D123" s="253"/>
      <c r="E123" s="119"/>
      <c r="F123" s="120"/>
      <c r="G123" s="255"/>
      <c r="H123" s="258"/>
      <c r="I123" s="267"/>
      <c r="J123" s="123"/>
    </row>
    <row r="124" spans="1:11" s="77" customFormat="1" ht="21" customHeight="1">
      <c r="A124" s="84"/>
      <c r="B124" s="514"/>
      <c r="C124" s="510"/>
      <c r="D124" s="511"/>
      <c r="E124" s="512"/>
      <c r="F124" s="120"/>
      <c r="G124" s="117"/>
      <c r="H124" s="118"/>
      <c r="I124" s="108"/>
    </row>
    <row r="125" spans="1:11" s="66" customFormat="1" ht="21" customHeight="1">
      <c r="A125" s="84"/>
      <c r="B125" s="98"/>
      <c r="C125" s="87"/>
      <c r="D125" s="87"/>
      <c r="E125" s="99"/>
      <c r="F125" s="89"/>
      <c r="G125" s="77"/>
      <c r="H125" s="89"/>
      <c r="I125" s="78"/>
      <c r="K125" s="109"/>
    </row>
    <row r="126" spans="1:11" s="66" customFormat="1" ht="12" customHeight="1">
      <c r="A126" s="84"/>
      <c r="B126" s="14"/>
      <c r="C126" s="48"/>
      <c r="D126" s="48"/>
      <c r="E126" s="77"/>
      <c r="F126" s="78"/>
      <c r="G126" s="77"/>
      <c r="H126" s="77"/>
    </row>
    <row r="127" spans="1:11" s="66" customFormat="1" ht="20.25" customHeight="1">
      <c r="A127" s="74"/>
      <c r="B127" s="516"/>
      <c r="C127" s="517"/>
      <c r="D127" s="517"/>
      <c r="E127" s="85"/>
      <c r="F127" s="85"/>
    </row>
    <row r="128" spans="1:11" s="77" customFormat="1" ht="21" customHeight="1">
      <c r="A128" s="83"/>
      <c r="B128" s="252"/>
      <c r="C128" s="94"/>
      <c r="D128" s="262"/>
      <c r="E128" s="123"/>
      <c r="F128" s="97"/>
    </row>
    <row r="129" spans="1:11" s="77" customFormat="1" ht="28.5" customHeight="1">
      <c r="A129" s="83"/>
      <c r="B129" s="251"/>
      <c r="C129" s="94"/>
      <c r="D129" s="262"/>
      <c r="E129" s="123"/>
      <c r="F129" s="97"/>
      <c r="K129" s="107"/>
    </row>
    <row r="130" spans="1:11" s="77" customFormat="1" ht="18.75" customHeight="1">
      <c r="A130" s="84"/>
      <c r="B130" s="252"/>
      <c r="C130" s="95"/>
      <c r="D130" s="264"/>
      <c r="E130" s="123"/>
      <c r="F130" s="100"/>
    </row>
    <row r="131" spans="1:11" s="79" customFormat="1" ht="15.6">
      <c r="A131" s="84"/>
      <c r="B131" s="12"/>
      <c r="C131" s="12"/>
      <c r="D131" s="12"/>
      <c r="E131" s="12"/>
      <c r="F131" s="13"/>
      <c r="G131" s="87"/>
      <c r="H131" s="534"/>
      <c r="I131" s="81"/>
    </row>
    <row r="132" spans="1:11" s="79" customFormat="1" ht="15.6">
      <c r="A132" s="84"/>
      <c r="B132" s="80"/>
      <c r="C132" s="80"/>
      <c r="D132" s="80"/>
      <c r="E132" s="80"/>
      <c r="F132" s="90"/>
      <c r="G132" s="48"/>
      <c r="I132" s="81"/>
    </row>
    <row r="133" spans="1:11" s="66" customFormat="1" ht="20.25" customHeight="1">
      <c r="A133" s="74"/>
      <c r="B133" s="516"/>
      <c r="C133" s="517"/>
      <c r="D133" s="517"/>
      <c r="E133" s="85"/>
      <c r="F133" s="85"/>
    </row>
    <row r="134" spans="1:11" s="77" customFormat="1" ht="21" customHeight="1">
      <c r="A134" s="83"/>
      <c r="B134" s="249"/>
      <c r="C134" s="94"/>
      <c r="D134" s="262"/>
      <c r="E134" s="123"/>
      <c r="F134" s="97"/>
    </row>
    <row r="135" spans="1:11" s="77" customFormat="1" ht="28.5" customHeight="1">
      <c r="A135" s="83"/>
      <c r="B135" s="249"/>
      <c r="C135" s="96"/>
      <c r="D135" s="262"/>
      <c r="E135" s="263"/>
      <c r="F135" s="97"/>
      <c r="K135" s="107"/>
    </row>
    <row r="136" spans="1:11" s="77" customFormat="1" ht="18.75" customHeight="1">
      <c r="A136" s="84"/>
      <c r="B136" s="518"/>
      <c r="C136" s="95"/>
      <c r="D136" s="264"/>
      <c r="E136" s="123"/>
      <c r="F136" s="100"/>
    </row>
    <row r="137" spans="1:11" s="79" customFormat="1" ht="15.6">
      <c r="A137" s="84"/>
      <c r="B137" s="12"/>
      <c r="C137" s="12"/>
      <c r="D137" s="12"/>
      <c r="E137" s="12"/>
      <c r="F137" s="13"/>
      <c r="G137" s="87"/>
      <c r="I137" s="81"/>
    </row>
    <row r="138" spans="1:11" s="79" customFormat="1" ht="9.75" customHeight="1">
      <c r="A138" s="84"/>
      <c r="B138" s="80"/>
      <c r="C138" s="80"/>
      <c r="D138" s="80"/>
      <c r="E138" s="80"/>
      <c r="F138" s="90"/>
      <c r="G138" s="48"/>
      <c r="I138" s="81"/>
    </row>
    <row r="139" spans="1:11" s="66" customFormat="1" ht="19.5" customHeight="1">
      <c r="A139" s="84"/>
      <c r="B139" s="14"/>
      <c r="C139" s="48"/>
      <c r="D139" s="48"/>
      <c r="E139" s="77"/>
      <c r="F139" s="78"/>
      <c r="G139" s="77"/>
      <c r="H139" s="77"/>
      <c r="I139" s="78"/>
    </row>
    <row r="140" spans="1:11" s="66" customFormat="1" ht="19.5" customHeight="1">
      <c r="A140" s="84"/>
      <c r="B140" s="252"/>
      <c r="C140" s="246"/>
      <c r="D140" s="253"/>
      <c r="E140" s="257"/>
      <c r="F140" s="78"/>
      <c r="G140" s="77"/>
      <c r="H140" s="77"/>
      <c r="I140" s="247"/>
      <c r="J140" s="123"/>
    </row>
    <row r="141" spans="1:11" s="66" customFormat="1" ht="23.25" customHeight="1">
      <c r="A141" s="84"/>
      <c r="B141" s="251"/>
      <c r="C141" s="254"/>
      <c r="D141" s="253"/>
      <c r="E141" s="257"/>
      <c r="F141" s="78"/>
      <c r="G141" s="117"/>
      <c r="H141" s="118"/>
      <c r="I141" s="267"/>
      <c r="J141" s="123"/>
    </row>
    <row r="142" spans="1:11" s="66" customFormat="1" ht="21" customHeight="1">
      <c r="A142" s="84"/>
      <c r="B142" s="98"/>
      <c r="C142" s="87"/>
      <c r="D142" s="87"/>
      <c r="E142" s="99"/>
      <c r="F142" s="89"/>
      <c r="G142" s="77"/>
      <c r="H142" s="89"/>
      <c r="I142" s="78"/>
      <c r="K142" s="109"/>
    </row>
    <row r="143" spans="1:11" s="79" customFormat="1" ht="9.75" customHeight="1">
      <c r="A143" s="84"/>
      <c r="B143" s="80"/>
      <c r="C143" s="80"/>
      <c r="D143" s="80"/>
      <c r="E143" s="80"/>
      <c r="F143" s="90"/>
      <c r="G143" s="48"/>
      <c r="I143" s="81"/>
    </row>
    <row r="144" spans="1:11" s="72" customFormat="1" ht="18.75" customHeight="1">
      <c r="A144" s="85"/>
      <c r="B144" s="14"/>
      <c r="C144" s="73"/>
      <c r="D144" s="73"/>
      <c r="G144" s="66"/>
    </row>
    <row r="145" spans="1:10" s="77" customFormat="1" ht="20.25" customHeight="1">
      <c r="A145" s="83"/>
      <c r="B145" s="48"/>
      <c r="C145" s="48"/>
      <c r="D145" s="74"/>
      <c r="E145" s="48"/>
      <c r="F145" s="82"/>
      <c r="G145" s="85"/>
      <c r="H145" s="84"/>
      <c r="I145" s="85"/>
      <c r="J145" s="84"/>
    </row>
    <row r="146" spans="1:10" s="77" customFormat="1" ht="20.25" customHeight="1">
      <c r="A146" s="83"/>
      <c r="B146" s="265"/>
      <c r="C146" s="101"/>
      <c r="D146" s="262"/>
      <c r="E146" s="123"/>
      <c r="F146" s="78"/>
      <c r="G146" s="85"/>
      <c r="H146" s="84"/>
      <c r="I146" s="266"/>
    </row>
    <row r="147" spans="1:10" s="77" customFormat="1" ht="16.5" customHeight="1">
      <c r="A147" s="83"/>
      <c r="B147" s="265"/>
      <c r="C147" s="101"/>
      <c r="D147" s="262"/>
      <c r="E147" s="123"/>
      <c r="F147" s="78"/>
      <c r="G147" s="85"/>
      <c r="H147" s="84"/>
      <c r="I147" s="266"/>
    </row>
    <row r="148" spans="1:10" s="77" customFormat="1" ht="15" customHeight="1">
      <c r="A148" s="83"/>
      <c r="B148" s="265"/>
      <c r="C148" s="101"/>
      <c r="D148" s="262"/>
      <c r="E148" s="123"/>
      <c r="F148" s="78"/>
      <c r="G148" s="85"/>
      <c r="H148" s="84"/>
      <c r="I148" s="266"/>
    </row>
    <row r="149" spans="1:10" s="79" customFormat="1" ht="15.6">
      <c r="A149" s="84"/>
      <c r="B149" s="12"/>
      <c r="C149" s="12"/>
      <c r="D149" s="12"/>
      <c r="E149" s="12"/>
      <c r="F149" s="13"/>
      <c r="G149" s="87"/>
      <c r="I149" s="81"/>
    </row>
    <row r="150" spans="1:10" s="79" customFormat="1" ht="12" customHeight="1">
      <c r="A150" s="84"/>
      <c r="B150" s="80"/>
      <c r="C150" s="80"/>
      <c r="D150" s="80"/>
      <c r="E150" s="80"/>
      <c r="F150" s="90"/>
      <c r="G150" s="48"/>
      <c r="I150" s="81"/>
    </row>
    <row r="151" spans="1:10" s="72" customFormat="1" ht="18.75" customHeight="1">
      <c r="A151" s="85"/>
      <c r="B151" s="14"/>
      <c r="C151" s="73"/>
      <c r="D151" s="73"/>
      <c r="G151" s="66"/>
    </row>
    <row r="152" spans="1:10" s="77" customFormat="1" ht="20.25" customHeight="1">
      <c r="A152" s="83"/>
      <c r="B152" s="48"/>
      <c r="C152" s="48"/>
      <c r="D152" s="74"/>
      <c r="E152" s="48"/>
      <c r="F152" s="82"/>
      <c r="G152" s="85"/>
      <c r="H152" s="84"/>
      <c r="I152" s="85"/>
      <c r="J152" s="84"/>
    </row>
    <row r="153" spans="1:10" s="77" customFormat="1" ht="20.25" customHeight="1">
      <c r="A153" s="83"/>
      <c r="B153" s="265"/>
      <c r="C153" s="101"/>
      <c r="D153" s="262"/>
      <c r="E153" s="123"/>
      <c r="F153" s="78"/>
      <c r="G153" s="85"/>
      <c r="H153" s="84"/>
      <c r="I153" s="266"/>
    </row>
    <row r="154" spans="1:10" s="77" customFormat="1" ht="18" customHeight="1">
      <c r="A154" s="83"/>
      <c r="B154" s="265"/>
      <c r="C154" s="101"/>
      <c r="D154" s="262"/>
      <c r="E154" s="123"/>
      <c r="F154" s="78"/>
      <c r="G154" s="85"/>
      <c r="H154" s="84"/>
      <c r="I154" s="266"/>
    </row>
    <row r="155" spans="1:10" s="77" customFormat="1" ht="19.5" customHeight="1">
      <c r="A155" s="83"/>
      <c r="B155" s="265"/>
      <c r="C155" s="101"/>
      <c r="D155" s="262"/>
      <c r="E155" s="123"/>
      <c r="F155" s="78"/>
      <c r="G155" s="85"/>
      <c r="H155" s="84"/>
      <c r="I155" s="266"/>
    </row>
    <row r="156" spans="1:10" s="79" customFormat="1" ht="15.6">
      <c r="A156" s="84"/>
      <c r="B156" s="12"/>
      <c r="C156" s="12"/>
      <c r="D156" s="12"/>
      <c r="E156" s="12"/>
      <c r="F156" s="13"/>
      <c r="G156" s="87"/>
      <c r="I156" s="81"/>
    </row>
    <row r="157" spans="1:10" s="520" customFormat="1" ht="12" customHeight="1">
      <c r="A157" s="519"/>
      <c r="B157" s="522"/>
      <c r="C157" s="522"/>
      <c r="D157" s="522"/>
      <c r="E157" s="522"/>
      <c r="F157" s="523"/>
      <c r="G157" s="524"/>
      <c r="I157" s="521"/>
    </row>
    <row r="158" spans="1:10" s="520" customFormat="1" ht="15.6">
      <c r="A158" s="519"/>
      <c r="B158" s="522"/>
      <c r="C158" s="522"/>
      <c r="D158" s="522"/>
      <c r="E158" s="522"/>
      <c r="F158" s="523"/>
      <c r="G158" s="524"/>
      <c r="I158" s="521"/>
    </row>
    <row r="159" spans="1:10" s="520" customFormat="1">
      <c r="A159" s="519"/>
      <c r="B159" s="252"/>
      <c r="C159" s="246"/>
      <c r="D159" s="253"/>
      <c r="E159" s="257"/>
      <c r="F159" s="78"/>
      <c r="G159" s="77"/>
      <c r="H159" s="77"/>
      <c r="I159" s="247"/>
    </row>
    <row r="160" spans="1:10" s="520" customFormat="1">
      <c r="A160" s="519"/>
      <c r="B160" s="251"/>
      <c r="C160" s="254"/>
      <c r="D160" s="253"/>
      <c r="E160" s="257"/>
      <c r="F160" s="78"/>
      <c r="G160" s="117"/>
      <c r="H160" s="118"/>
      <c r="I160" s="267"/>
    </row>
    <row r="161" spans="1:11" s="520" customFormat="1" ht="15.6">
      <c r="A161" s="519"/>
      <c r="B161" s="98"/>
      <c r="C161" s="87"/>
      <c r="D161" s="87"/>
      <c r="E161" s="99"/>
      <c r="F161" s="89"/>
      <c r="G161" s="77"/>
      <c r="H161" s="89"/>
      <c r="I161" s="78"/>
    </row>
    <row r="162" spans="1:11" s="520" customFormat="1" ht="15.6">
      <c r="A162" s="519"/>
      <c r="B162" s="532"/>
      <c r="C162" s="48"/>
      <c r="D162" s="48"/>
      <c r="E162" s="77"/>
      <c r="F162" s="82"/>
      <c r="G162" s="77"/>
      <c r="H162" s="82"/>
      <c r="I162" s="78"/>
    </row>
    <row r="163" spans="1:11" s="520" customFormat="1" ht="15.6">
      <c r="A163" s="519"/>
      <c r="B163" s="80"/>
      <c r="C163" s="80"/>
      <c r="D163" s="80"/>
      <c r="E163" s="80"/>
      <c r="F163" s="90"/>
      <c r="G163" s="48"/>
      <c r="H163" s="79"/>
      <c r="I163" s="81"/>
    </row>
    <row r="164" spans="1:11" s="520" customFormat="1">
      <c r="A164" s="519"/>
      <c r="B164" s="252"/>
      <c r="C164" s="246"/>
      <c r="D164" s="253"/>
      <c r="E164" s="257"/>
      <c r="F164" s="78"/>
      <c r="G164" s="123"/>
      <c r="H164" s="77"/>
      <c r="I164" s="247"/>
    </row>
    <row r="165" spans="1:11" s="520" customFormat="1">
      <c r="A165" s="519"/>
      <c r="B165" s="252"/>
      <c r="C165" s="246"/>
      <c r="D165" s="253"/>
      <c r="E165" s="257"/>
      <c r="F165" s="78"/>
      <c r="G165" s="533"/>
      <c r="H165" s="530"/>
      <c r="I165" s="531"/>
    </row>
    <row r="166" spans="1:11" s="520" customFormat="1" ht="15.6">
      <c r="A166" s="519"/>
      <c r="B166" s="98"/>
      <c r="C166" s="87"/>
      <c r="D166" s="87"/>
      <c r="E166" s="99"/>
      <c r="F166" s="89"/>
      <c r="G166" s="77"/>
      <c r="H166" s="89"/>
      <c r="I166" s="78"/>
    </row>
    <row r="167" spans="1:11" s="520" customFormat="1" ht="15.6">
      <c r="A167" s="519"/>
      <c r="B167" s="532"/>
      <c r="C167" s="48"/>
      <c r="D167" s="48"/>
      <c r="E167" s="77"/>
      <c r="F167" s="82"/>
      <c r="G167" s="77"/>
      <c r="H167" s="82"/>
      <c r="I167" s="78"/>
    </row>
    <row r="168" spans="1:11" s="520" customFormat="1" ht="15.6">
      <c r="A168" s="519"/>
      <c r="B168" s="80"/>
      <c r="C168" s="80"/>
      <c r="D168" s="80"/>
      <c r="E168" s="80"/>
      <c r="F168" s="90"/>
      <c r="G168" s="48"/>
      <c r="H168" s="79"/>
      <c r="I168" s="81"/>
    </row>
    <row r="169" spans="1:11" s="520" customFormat="1">
      <c r="A169" s="519"/>
      <c r="B169" s="252"/>
      <c r="C169" s="246"/>
      <c r="D169" s="253"/>
      <c r="E169" s="257"/>
      <c r="F169" s="78"/>
      <c r="G169" s="123"/>
      <c r="H169" s="77"/>
      <c r="I169" s="247"/>
    </row>
    <row r="170" spans="1:11" s="520" customFormat="1">
      <c r="A170" s="519"/>
      <c r="B170" s="252"/>
      <c r="C170" s="246"/>
      <c r="D170" s="253"/>
      <c r="E170" s="257"/>
      <c r="F170" s="78"/>
      <c r="G170" s="533"/>
      <c r="H170" s="530"/>
      <c r="I170" s="531"/>
    </row>
    <row r="171" spans="1:11" s="520" customFormat="1" ht="15.6">
      <c r="A171" s="519"/>
      <c r="B171" s="98"/>
      <c r="C171" s="87"/>
      <c r="D171" s="87"/>
      <c r="E171" s="99"/>
      <c r="F171" s="89"/>
      <c r="G171" s="77"/>
      <c r="H171" s="89"/>
      <c r="I171" s="78"/>
    </row>
    <row r="172" spans="1:11" s="79" customFormat="1" ht="15.6">
      <c r="A172" s="84"/>
      <c r="B172" s="80"/>
      <c r="C172" s="80"/>
      <c r="D172" s="80"/>
      <c r="E172" s="80"/>
      <c r="F172" s="90"/>
      <c r="G172" s="48"/>
      <c r="I172" s="81"/>
    </row>
    <row r="173" spans="1:11" s="116" customFormat="1" ht="28.5" customHeight="1">
      <c r="A173" s="114"/>
      <c r="B173" s="115"/>
      <c r="C173" s="111"/>
      <c r="D173" s="111"/>
      <c r="E173" s="112"/>
      <c r="F173" s="112"/>
      <c r="G173" s="112"/>
      <c r="H173" s="112"/>
      <c r="I173" s="113"/>
    </row>
    <row r="174" spans="1:11" s="66" customFormat="1" ht="20.25" customHeight="1">
      <c r="A174" s="84"/>
      <c r="B174" s="252"/>
      <c r="C174" s="94"/>
      <c r="D174" s="242"/>
      <c r="E174" s="243"/>
      <c r="F174" s="78"/>
      <c r="G174" s="77"/>
      <c r="H174" s="77"/>
      <c r="I174" s="250"/>
      <c r="J174" s="250"/>
      <c r="K174" s="749"/>
    </row>
    <row r="175" spans="1:11" s="66" customFormat="1" ht="20.25" customHeight="1">
      <c r="A175" s="84"/>
      <c r="B175" s="251"/>
      <c r="C175" s="94"/>
      <c r="D175" s="242"/>
      <c r="E175" s="243"/>
      <c r="F175" s="78"/>
      <c r="G175" s="77"/>
      <c r="H175" s="77"/>
      <c r="I175" s="250"/>
      <c r="J175" s="250"/>
      <c r="K175" s="750"/>
    </row>
    <row r="176" spans="1:11" s="79" customFormat="1" ht="18.75" customHeight="1">
      <c r="A176" s="84"/>
      <c r="B176" s="12"/>
      <c r="C176" s="12"/>
      <c r="D176" s="12"/>
      <c r="E176" s="12"/>
      <c r="F176" s="13"/>
      <c r="G176" s="87"/>
      <c r="I176" s="81"/>
    </row>
  </sheetData>
  <mergeCells count="6">
    <mergeCell ref="A2:I2"/>
    <mergeCell ref="B3:D3"/>
    <mergeCell ref="I11:J11"/>
    <mergeCell ref="K174:K175"/>
    <mergeCell ref="I94:J94"/>
    <mergeCell ref="B25:E25"/>
  </mergeCells>
  <phoneticPr fontId="0" type="noConversion"/>
  <printOptions horizontalCentered="1" verticalCentered="1"/>
  <pageMargins left="0.19685039370078741" right="0" top="0.15748031496062992" bottom="3.937007874015748E-2" header="0.19685039370078741" footer="0"/>
  <pageSetup paperSize="9" scale="69" fitToHeight="8" orientation="portrait" r:id="rId1"/>
  <headerFooter alignWithMargins="0">
    <oddFooter>&amp;L&amp;F&amp;R&amp;D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X139"/>
  <sheetViews>
    <sheetView showZeros="0" topLeftCell="A115" zoomScale="120" zoomScaleNormal="120" workbookViewId="0">
      <selection activeCell="P4" sqref="P4"/>
    </sheetView>
  </sheetViews>
  <sheetFormatPr defaultColWidth="8.81640625" defaultRowHeight="15"/>
  <cols>
    <col min="1" max="1" width="5.6328125" style="3" customWidth="1"/>
    <col min="2" max="2" width="26.54296875" style="3" customWidth="1"/>
    <col min="3" max="3" width="10.54296875" style="3" customWidth="1"/>
    <col min="4" max="4" width="8.90625" style="3" customWidth="1"/>
    <col min="5" max="5" width="8" style="3" customWidth="1"/>
    <col min="6" max="6" width="10.90625" style="3" customWidth="1"/>
    <col min="7" max="7" width="11.81640625" style="3" customWidth="1"/>
    <col min="8" max="8" width="10.1796875" style="3" customWidth="1"/>
    <col min="9" max="9" width="12" style="3" customWidth="1"/>
    <col min="10" max="10" width="10.1796875" style="3" customWidth="1"/>
    <col min="11" max="11" width="12" style="3" customWidth="1"/>
    <col min="12" max="12" width="12.90625" style="3" customWidth="1"/>
    <col min="13" max="13" width="12.54296875" style="3" customWidth="1"/>
    <col min="14" max="14" width="8.1796875" style="3" customWidth="1"/>
    <col min="15" max="15" width="9.90625" style="3" customWidth="1"/>
    <col min="16" max="16" width="11.36328125" style="3" customWidth="1"/>
    <col min="17" max="17" width="11.54296875" style="3" customWidth="1"/>
    <col min="18" max="18" width="10.453125" style="3" customWidth="1"/>
    <col min="19" max="19" width="11.6328125" style="3" customWidth="1"/>
    <col min="20" max="20" width="11.81640625" style="3" customWidth="1"/>
    <col min="21" max="21" width="12.08984375" style="3" customWidth="1"/>
    <col min="22" max="22" width="11" style="3" customWidth="1"/>
    <col min="23" max="23" width="10.90625" style="3" customWidth="1"/>
    <col min="24" max="24" width="10.54296875" style="3" customWidth="1"/>
    <col min="25" max="25" width="9.90625" style="3" customWidth="1"/>
    <col min="26" max="26" width="10.81640625" style="3" customWidth="1"/>
    <col min="27" max="27" width="9.81640625" style="3" customWidth="1"/>
    <col min="28" max="28" width="11.1796875" style="3" customWidth="1"/>
    <col min="29" max="29" width="10.36328125" style="3" customWidth="1"/>
    <col min="30" max="30" width="11.90625" style="3" customWidth="1"/>
    <col min="31" max="31" width="8.81640625" style="3"/>
    <col min="32" max="32" width="13.453125" style="3" customWidth="1"/>
    <col min="33" max="33" width="10.90625" style="3" customWidth="1"/>
    <col min="34" max="34" width="11.453125" style="3" customWidth="1"/>
    <col min="35" max="35" width="11.81640625" style="3" customWidth="1"/>
    <col min="36" max="36" width="11.08984375" style="3" customWidth="1"/>
    <col min="37" max="37" width="10.90625" style="3" customWidth="1"/>
    <col min="38" max="42" width="8.81640625" style="3"/>
    <col min="43" max="43" width="10.1796875" style="3" customWidth="1"/>
    <col min="44" max="44" width="11.54296875" style="3" customWidth="1"/>
    <col min="45" max="45" width="12.08984375" style="3" customWidth="1"/>
    <col min="46" max="46" width="13.1796875" style="3" customWidth="1"/>
    <col min="47" max="47" width="14.08984375" style="3" customWidth="1"/>
    <col min="48" max="48" width="11.81640625" style="3" customWidth="1"/>
    <col min="49" max="53" width="8.81640625" style="3"/>
    <col min="54" max="54" width="28.81640625" style="3" customWidth="1"/>
    <col min="55" max="55" width="11.81640625" style="3" customWidth="1"/>
    <col min="56" max="56" width="10" style="3" customWidth="1"/>
    <col min="57" max="57" width="10.453125" style="3" customWidth="1"/>
    <col min="58" max="59" width="8.81640625" style="3"/>
    <col min="60" max="60" width="9.36328125" style="3" customWidth="1"/>
    <col min="61" max="61" width="18.453125" style="3" customWidth="1"/>
    <col min="62" max="62" width="11" style="3" customWidth="1"/>
    <col min="63" max="63" width="9.54296875" style="3" customWidth="1"/>
    <col min="64" max="64" width="10.6328125" style="3" customWidth="1"/>
    <col min="65" max="65" width="9.90625" style="3" customWidth="1"/>
    <col min="66" max="66" width="11.453125" style="3" customWidth="1"/>
    <col min="67" max="67" width="9.90625" style="3" customWidth="1"/>
    <col min="68" max="68" width="10" style="3" customWidth="1"/>
    <col min="69" max="69" width="6.81640625" style="3" customWidth="1"/>
    <col min="70" max="70" width="12.54296875" style="3" customWidth="1"/>
    <col min="71" max="71" width="9.54296875" style="3" customWidth="1"/>
    <col min="72" max="72" width="10.36328125" style="3" customWidth="1"/>
    <col min="73" max="73" width="7.81640625" style="3" customWidth="1"/>
    <col min="74" max="74" width="7.1796875" style="3" customWidth="1"/>
    <col min="75" max="75" width="17.6328125" style="3" customWidth="1"/>
    <col min="76" max="76" width="8.81640625" style="3" customWidth="1"/>
    <col min="77" max="77" width="13.08984375" style="3" bestFit="1" customWidth="1"/>
    <col min="78" max="78" width="13.81640625" style="3" customWidth="1"/>
    <col min="79" max="80" width="8.81640625" style="3"/>
    <col min="81" max="81" width="9" style="3" bestFit="1" customWidth="1"/>
    <col min="82" max="90" width="8.81640625" style="3"/>
    <col min="91" max="91" width="13.08984375" style="3" customWidth="1"/>
    <col min="92" max="92" width="8.81640625" style="3"/>
    <col min="93" max="93" width="9.90625" style="3" customWidth="1"/>
    <col min="94" max="97" width="8.81640625" style="3"/>
    <col min="98" max="98" width="8.54296875" style="3" customWidth="1"/>
    <col min="99" max="99" width="30.36328125" style="3" customWidth="1"/>
    <col min="100" max="100" width="9" style="3" bestFit="1" customWidth="1"/>
    <col min="101" max="101" width="8.81640625" style="3"/>
    <col min="102" max="102" width="5.90625" style="3" customWidth="1"/>
    <col min="103" max="103" width="6.90625" style="3" customWidth="1"/>
    <col min="104" max="104" width="23.90625" style="3" customWidth="1"/>
    <col min="105" max="111" width="8.81640625" style="3"/>
    <col min="112" max="112" width="9" style="3" bestFit="1" customWidth="1"/>
    <col min="113" max="114" width="8.81640625" style="3"/>
    <col min="115" max="115" width="32.90625" style="3" customWidth="1"/>
    <col min="116" max="116" width="16.6328125" style="3" customWidth="1"/>
    <col min="117" max="117" width="10.1796875" style="3" customWidth="1"/>
    <col min="118" max="118" width="12.453125" style="3" customWidth="1"/>
    <col min="119" max="119" width="10" style="3" bestFit="1" customWidth="1"/>
    <col min="120" max="120" width="8.81640625" style="3"/>
    <col min="121" max="121" width="9" style="3" bestFit="1" customWidth="1"/>
    <col min="122" max="123" width="8.81640625" style="3"/>
    <col min="124" max="124" width="11.6328125" style="3" customWidth="1"/>
    <col min="125" max="125" width="8.81640625" style="3"/>
    <col min="126" max="126" width="28.81640625" style="3" customWidth="1"/>
    <col min="127" max="127" width="12.36328125" style="3" customWidth="1"/>
    <col min="128" max="128" width="11.1796875" style="3" customWidth="1"/>
    <col min="129" max="16384" width="8.81640625" style="3"/>
  </cols>
  <sheetData>
    <row r="1" spans="1:93" s="22" customFormat="1" ht="15.6">
      <c r="B1" s="27"/>
      <c r="C1" s="27"/>
      <c r="D1" s="27"/>
      <c r="E1" s="770" t="s">
        <v>1</v>
      </c>
      <c r="F1" s="770"/>
      <c r="G1" s="770"/>
      <c r="H1" s="770"/>
      <c r="I1" s="770"/>
      <c r="J1" s="770"/>
      <c r="K1" s="770"/>
      <c r="L1" s="27"/>
      <c r="M1" s="27"/>
      <c r="N1" s="27"/>
      <c r="O1" s="51" t="s">
        <v>176</v>
      </c>
      <c r="R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51" t="str">
        <f>+O1</f>
        <v>Annexure-6.1.1-2</v>
      </c>
      <c r="AG1" s="51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51" t="str">
        <f>+AF1</f>
        <v>Annexure-6.1.1-2</v>
      </c>
      <c r="AV1" s="27"/>
      <c r="AW1" s="27"/>
      <c r="AX1" s="27"/>
      <c r="AY1" s="27"/>
      <c r="AZ1" s="27"/>
      <c r="BA1" s="27" t="s">
        <v>2</v>
      </c>
      <c r="BB1" s="27"/>
      <c r="BC1" s="27"/>
      <c r="BD1" s="27"/>
      <c r="BE1" s="27"/>
      <c r="BF1" s="27"/>
      <c r="BG1" s="27"/>
      <c r="BI1" s="127" t="s">
        <v>159</v>
      </c>
      <c r="BJ1" s="128">
        <f>AU22</f>
        <v>6.8364910457771728</v>
      </c>
      <c r="BK1" s="127"/>
      <c r="BL1" s="127"/>
      <c r="BM1" s="127"/>
      <c r="BN1" s="127"/>
      <c r="BO1" s="27"/>
      <c r="BP1" s="27"/>
      <c r="BQ1" s="27"/>
      <c r="BR1" s="27"/>
      <c r="BS1" s="27"/>
      <c r="BT1" s="27"/>
      <c r="BU1" s="27"/>
      <c r="CK1" s="21"/>
    </row>
    <row r="2" spans="1:93" s="22" customFormat="1" ht="15.6">
      <c r="B2" s="27"/>
      <c r="C2" s="27"/>
      <c r="D2" s="27"/>
      <c r="E2" s="124" t="s">
        <v>403</v>
      </c>
      <c r="F2" s="124"/>
      <c r="G2" s="51"/>
      <c r="H2" s="51"/>
      <c r="I2" s="51"/>
      <c r="J2" s="51"/>
      <c r="K2" s="51"/>
      <c r="L2" s="27"/>
      <c r="M2" s="27"/>
      <c r="N2" s="27"/>
      <c r="O2" s="51"/>
      <c r="R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51"/>
      <c r="AG2" s="51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51"/>
      <c r="AV2" s="27"/>
      <c r="AW2" s="27"/>
      <c r="AX2" s="27"/>
      <c r="AY2" s="27"/>
      <c r="AZ2" s="27"/>
      <c r="BA2" s="27"/>
      <c r="BE2" s="27"/>
      <c r="BF2" s="27"/>
      <c r="BG2" s="27"/>
      <c r="BI2" s="127"/>
      <c r="BJ2" s="129"/>
      <c r="BK2" s="127"/>
      <c r="BL2" s="127"/>
      <c r="BM2" s="127"/>
      <c r="BN2" s="127"/>
      <c r="BO2" s="27"/>
      <c r="BP2" s="27"/>
      <c r="BQ2" s="27"/>
      <c r="BR2" s="27"/>
      <c r="BS2" s="27"/>
      <c r="BT2" s="27"/>
      <c r="BU2" s="27"/>
      <c r="CK2" s="21"/>
    </row>
    <row r="3" spans="1:93" s="184" customFormat="1" ht="15.6">
      <c r="B3" s="91"/>
      <c r="C3" s="91"/>
      <c r="D3" s="91"/>
      <c r="E3" s="493" t="s">
        <v>404</v>
      </c>
      <c r="F3" s="493"/>
      <c r="G3" s="493"/>
      <c r="H3" s="494"/>
      <c r="I3" s="494"/>
      <c r="J3" s="494"/>
      <c r="K3" s="494"/>
      <c r="L3" s="495"/>
      <c r="M3" s="91"/>
      <c r="N3" s="91"/>
      <c r="O3" s="91" t="s">
        <v>131</v>
      </c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 t="s">
        <v>132</v>
      </c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 t="s">
        <v>133</v>
      </c>
      <c r="AV3" s="91"/>
      <c r="AW3" s="91"/>
      <c r="AX3" s="91"/>
      <c r="AY3" s="91"/>
      <c r="AZ3" s="91"/>
      <c r="BA3" s="91"/>
      <c r="BB3" s="496" t="s">
        <v>358</v>
      </c>
      <c r="BC3" s="498" t="s">
        <v>367</v>
      </c>
      <c r="BD3" s="123" t="s">
        <v>209</v>
      </c>
      <c r="BE3" s="91"/>
      <c r="BF3" s="91"/>
      <c r="BG3" s="91"/>
      <c r="BI3" s="92"/>
      <c r="BJ3" s="92"/>
      <c r="BK3" s="92"/>
      <c r="BL3" s="92"/>
      <c r="BM3" s="92"/>
      <c r="BN3" s="92" t="s">
        <v>172</v>
      </c>
      <c r="BO3" s="91"/>
      <c r="BP3" s="91"/>
      <c r="BQ3" s="91"/>
      <c r="BR3" s="91"/>
      <c r="BS3" s="91"/>
      <c r="BT3" s="91"/>
      <c r="BU3" s="91"/>
      <c r="BW3" s="497"/>
      <c r="BY3" s="497"/>
      <c r="BZ3" s="497"/>
      <c r="CC3" s="497"/>
      <c r="CK3" s="497"/>
    </row>
    <row r="4" spans="1:93" s="22" customFormat="1" ht="15.6">
      <c r="B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 t="s">
        <v>593</v>
      </c>
      <c r="P4" s="125"/>
      <c r="Q4" s="125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V4" s="27"/>
      <c r="AW4" s="27"/>
      <c r="AX4" s="27"/>
      <c r="AY4" s="27"/>
      <c r="AZ4" s="27"/>
      <c r="BA4" s="27"/>
      <c r="BB4" s="480" t="s">
        <v>359</v>
      </c>
      <c r="BC4" s="480" t="s">
        <v>359</v>
      </c>
      <c r="BE4" s="27"/>
      <c r="BF4" s="27"/>
      <c r="BG4" s="27"/>
      <c r="BI4" s="132" t="s">
        <v>484</v>
      </c>
      <c r="BJ4" s="125"/>
      <c r="BK4" s="125"/>
      <c r="BL4" s="125"/>
      <c r="BM4" s="125"/>
      <c r="BN4" s="129"/>
      <c r="BO4" s="27"/>
      <c r="BP4" s="27"/>
      <c r="BQ4" s="27"/>
      <c r="BR4" s="27"/>
      <c r="BS4" s="27"/>
      <c r="BT4" s="27"/>
      <c r="BU4" s="27"/>
      <c r="BW4" s="21"/>
      <c r="BY4" s="21"/>
      <c r="CE4" s="21"/>
      <c r="CF4" s="21"/>
      <c r="CG4" s="21"/>
      <c r="CH4" s="21"/>
      <c r="CI4" s="21"/>
      <c r="CJ4" s="21"/>
      <c r="CK4" s="21"/>
      <c r="CL4" s="21"/>
      <c r="CM4" s="22" t="e">
        <f>+#REF!+#REF!</f>
        <v>#REF!</v>
      </c>
      <c r="CO4" s="22" t="e">
        <f>+#REF!+#REF!</f>
        <v>#REF!</v>
      </c>
    </row>
    <row r="5" spans="1:93" s="22" customFormat="1" ht="19.95" customHeight="1">
      <c r="B5" s="27"/>
      <c r="C5" s="27"/>
      <c r="D5" s="27"/>
      <c r="E5" s="27"/>
      <c r="F5" s="27"/>
      <c r="G5" s="27"/>
      <c r="H5" s="27"/>
      <c r="I5" s="27"/>
      <c r="J5" s="27"/>
      <c r="K5" s="27"/>
      <c r="L5" s="52"/>
      <c r="M5" s="27"/>
      <c r="N5" s="27"/>
      <c r="O5" s="27" t="s">
        <v>0</v>
      </c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V5" s="27"/>
      <c r="AW5" s="27"/>
      <c r="AX5" s="27"/>
      <c r="AY5" s="27"/>
      <c r="AZ5" s="27"/>
      <c r="BA5" s="27"/>
      <c r="BB5" s="479"/>
      <c r="BC5" s="479"/>
      <c r="BE5" s="754" t="s">
        <v>366</v>
      </c>
      <c r="BF5" s="27"/>
      <c r="BG5" s="27"/>
      <c r="BH5" s="27"/>
      <c r="BI5" s="127"/>
      <c r="BJ5" s="127"/>
      <c r="BK5" s="127"/>
      <c r="BL5" s="127"/>
      <c r="BM5" s="127"/>
      <c r="BN5" s="127"/>
      <c r="BO5" s="54"/>
      <c r="BP5" s="54"/>
      <c r="BQ5" s="54"/>
      <c r="BR5" s="54"/>
      <c r="BS5" s="54"/>
      <c r="BT5" s="27"/>
      <c r="BU5" s="27"/>
      <c r="BW5" s="21"/>
      <c r="BY5" s="21"/>
      <c r="BZ5" s="21"/>
      <c r="CE5" s="21"/>
      <c r="CF5" s="21"/>
      <c r="CG5" s="21"/>
      <c r="CH5" s="21"/>
      <c r="CI5" s="21"/>
      <c r="CJ5" s="21"/>
      <c r="CK5" s="21"/>
      <c r="CL5" s="21"/>
    </row>
    <row r="6" spans="1:93" s="22" customFormat="1" ht="15.6">
      <c r="B6" s="27"/>
      <c r="C6" s="27"/>
      <c r="D6" s="27"/>
      <c r="E6" s="770" t="s">
        <v>3</v>
      </c>
      <c r="F6" s="770"/>
      <c r="G6" s="770"/>
      <c r="H6" s="770"/>
      <c r="I6" s="770"/>
      <c r="J6" s="770"/>
      <c r="K6" s="770"/>
      <c r="L6" s="27"/>
      <c r="M6" s="27"/>
      <c r="N6" s="27"/>
      <c r="O6" s="126" t="s">
        <v>173</v>
      </c>
      <c r="P6" s="125"/>
      <c r="Q6" s="125"/>
      <c r="R6" s="27"/>
      <c r="S6" s="27"/>
      <c r="T6" s="27"/>
      <c r="U6" s="27"/>
      <c r="V6" s="27"/>
      <c r="W6" s="27"/>
      <c r="X6" s="27" t="s">
        <v>0</v>
      </c>
      <c r="Y6" s="27"/>
      <c r="Z6" s="27"/>
      <c r="AA6" s="27"/>
      <c r="AB6" s="27"/>
      <c r="AC6" s="27"/>
      <c r="AD6" s="27"/>
      <c r="AE6" s="27"/>
      <c r="AF6" s="27" t="str">
        <f>+O6</f>
        <v>Figures in Rs. Crore</v>
      </c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 t="str">
        <f>+AF6</f>
        <v>Figures in Rs. Crore</v>
      </c>
      <c r="AV6" s="27"/>
      <c r="AW6" s="27"/>
      <c r="AX6" s="27"/>
      <c r="AY6" s="27"/>
      <c r="AZ6" s="27"/>
      <c r="BA6" s="27"/>
      <c r="BB6" s="485" t="s">
        <v>360</v>
      </c>
      <c r="BC6" s="486"/>
      <c r="BD6" s="22" t="s">
        <v>365</v>
      </c>
      <c r="BE6" s="754"/>
      <c r="BF6" s="27"/>
      <c r="BG6" s="27"/>
      <c r="BI6" s="127"/>
      <c r="BJ6" s="127"/>
      <c r="BK6" s="127"/>
      <c r="BL6" s="127"/>
      <c r="BM6" s="127"/>
      <c r="BN6" s="127" t="str">
        <f>AT6</f>
        <v>Figures in Rs. Crore</v>
      </c>
      <c r="BO6" s="54"/>
      <c r="BP6" s="54"/>
      <c r="BQ6" s="54"/>
      <c r="BR6" s="54"/>
      <c r="BS6" s="54"/>
      <c r="BT6" s="27"/>
      <c r="BU6" s="27"/>
      <c r="CJ6" s="21"/>
      <c r="CK6" s="21"/>
    </row>
    <row r="7" spans="1:93" s="19" customFormat="1">
      <c r="A7" s="22"/>
      <c r="B7" s="27"/>
      <c r="C7" s="27"/>
      <c r="D7" s="22"/>
      <c r="E7" s="22"/>
      <c r="F7" s="137"/>
      <c r="G7" s="27"/>
      <c r="H7" s="27"/>
      <c r="I7" s="27"/>
      <c r="J7" s="27"/>
      <c r="K7" s="27"/>
      <c r="L7" s="22"/>
      <c r="M7" s="22"/>
      <c r="N7" s="27"/>
      <c r="O7" s="27"/>
      <c r="P7" s="27"/>
      <c r="Q7" s="27"/>
      <c r="R7" s="27"/>
      <c r="S7" s="138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485"/>
      <c r="BC7" s="487"/>
      <c r="BD7" s="28"/>
      <c r="BE7" s="49"/>
      <c r="BF7" s="49"/>
      <c r="BG7" s="49"/>
      <c r="BH7" s="49"/>
      <c r="BI7" s="62" t="s">
        <v>14</v>
      </c>
      <c r="BJ7" s="62" t="s">
        <v>15</v>
      </c>
      <c r="BK7" s="62" t="s">
        <v>165</v>
      </c>
      <c r="BL7" s="62" t="s">
        <v>19</v>
      </c>
      <c r="BM7" s="62" t="s">
        <v>8</v>
      </c>
      <c r="BN7" s="62" t="s">
        <v>16</v>
      </c>
      <c r="BO7" s="50"/>
      <c r="BP7" s="50"/>
      <c r="BQ7" s="50"/>
      <c r="BR7" s="50"/>
      <c r="BS7" s="50"/>
      <c r="BT7" s="49"/>
      <c r="BU7" s="49"/>
    </row>
    <row r="8" spans="1:93" s="16" customFormat="1" ht="15.6">
      <c r="A8" s="189"/>
      <c r="B8" s="190"/>
      <c r="C8" s="190" t="s">
        <v>174</v>
      </c>
      <c r="D8" s="190"/>
      <c r="E8" s="189"/>
      <c r="F8" s="189" t="s">
        <v>177</v>
      </c>
      <c r="G8" s="189"/>
      <c r="H8" s="189"/>
      <c r="I8" s="189" t="s">
        <v>146</v>
      </c>
      <c r="J8" s="189" t="s">
        <v>384</v>
      </c>
      <c r="K8" s="189"/>
      <c r="L8" s="189" t="s">
        <v>134</v>
      </c>
      <c r="M8" s="189" t="s">
        <v>383</v>
      </c>
      <c r="N8" s="189"/>
      <c r="O8" s="189"/>
      <c r="P8" s="189"/>
      <c r="Q8" s="189"/>
      <c r="R8" s="189"/>
      <c r="S8" s="189"/>
      <c r="T8" s="189"/>
      <c r="U8" s="190"/>
      <c r="V8" s="190"/>
      <c r="W8" s="190"/>
      <c r="X8" s="190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  <c r="AR8" s="190"/>
      <c r="AS8" s="190"/>
      <c r="AT8" s="190"/>
      <c r="AU8" s="190"/>
      <c r="AV8" s="454"/>
      <c r="AW8" s="454"/>
      <c r="AX8" s="454"/>
      <c r="AY8" s="454"/>
      <c r="AZ8" s="454"/>
      <c r="BA8" s="454"/>
      <c r="BB8" s="485" t="s">
        <v>361</v>
      </c>
      <c r="BC8" s="122">
        <v>64.239999999999995</v>
      </c>
      <c r="BD8" s="491">
        <f>6.17/24*30/2</f>
        <v>3.8562500000000002</v>
      </c>
      <c r="BE8" s="492">
        <f>BC8+BD8</f>
        <v>68.096249999999998</v>
      </c>
      <c r="BF8" s="55"/>
      <c r="BG8" s="55"/>
      <c r="BH8" s="55"/>
      <c r="BI8" s="130"/>
      <c r="BJ8" s="130" t="s">
        <v>18</v>
      </c>
      <c r="BK8" s="134">
        <v>0</v>
      </c>
      <c r="BL8" s="134">
        <v>1</v>
      </c>
      <c r="BM8" s="131" t="s">
        <v>355</v>
      </c>
      <c r="BN8" s="130" t="s">
        <v>20</v>
      </c>
      <c r="BO8" s="56"/>
      <c r="BP8" s="56"/>
      <c r="BQ8" s="56"/>
      <c r="BR8" s="56"/>
      <c r="BS8" s="56"/>
      <c r="BT8" s="55"/>
      <c r="BU8" s="55"/>
      <c r="CJ8" s="57"/>
      <c r="CK8" s="57"/>
    </row>
    <row r="9" spans="1:93" s="16" customFormat="1" ht="15.6">
      <c r="A9" s="189"/>
      <c r="B9" s="190"/>
      <c r="C9" s="192">
        <f>BC53</f>
        <v>7.4999999999999997E-2</v>
      </c>
      <c r="D9" s="193"/>
      <c r="E9" s="194"/>
      <c r="F9" s="193">
        <f>BC59</f>
        <v>0.11111111111111112</v>
      </c>
      <c r="G9" s="193"/>
      <c r="H9" s="195"/>
      <c r="I9" s="196">
        <f>+BC33+BC34+BC35+BC36</f>
        <v>0.11000000000000001</v>
      </c>
      <c r="J9" s="192">
        <f>BC54</f>
        <v>0.18</v>
      </c>
      <c r="K9" s="193"/>
      <c r="L9" s="195">
        <f>+$BC$63</f>
        <v>0.05</v>
      </c>
      <c r="M9" s="194">
        <f>BC58</f>
        <v>0.18</v>
      </c>
      <c r="N9" s="189"/>
      <c r="O9" s="189"/>
      <c r="P9" s="189"/>
      <c r="Q9" s="189"/>
      <c r="R9" s="189"/>
      <c r="S9" s="189"/>
      <c r="T9" s="189"/>
      <c r="U9" s="190"/>
      <c r="V9" s="190"/>
      <c r="W9" s="190">
        <f>V18+W18+X18+Y18</f>
        <v>1.2000000000000001E-3</v>
      </c>
      <c r="X9" s="190">
        <f>V18+W18</f>
        <v>0</v>
      </c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  <c r="AR9" s="190"/>
      <c r="AS9" s="190"/>
      <c r="AT9" s="190"/>
      <c r="AU9" s="190"/>
      <c r="AV9" s="454"/>
      <c r="AW9" s="454"/>
      <c r="AX9" s="454"/>
      <c r="AY9" s="454"/>
      <c r="AZ9" s="454"/>
      <c r="BA9" s="454"/>
      <c r="BB9" s="485" t="s">
        <v>362</v>
      </c>
      <c r="BC9" s="490">
        <v>70.760000000000005</v>
      </c>
      <c r="BD9" s="491">
        <f>BD8*1.06795</f>
        <v>4.1182821875000002</v>
      </c>
      <c r="BE9" s="492">
        <f>BC9+BD9</f>
        <v>74.878282187500005</v>
      </c>
      <c r="BF9" s="55"/>
      <c r="BG9" s="55"/>
      <c r="BH9" s="55"/>
      <c r="BI9" s="130"/>
      <c r="BJ9" s="130"/>
      <c r="BK9" s="130"/>
      <c r="BL9" s="130"/>
      <c r="BM9" s="134">
        <v>0.1</v>
      </c>
      <c r="BN9" s="130"/>
      <c r="BO9" s="56"/>
      <c r="BP9" s="56"/>
      <c r="BQ9" s="56"/>
      <c r="BR9" s="56"/>
      <c r="BS9" s="56"/>
      <c r="BT9" s="55"/>
      <c r="BU9" s="55"/>
      <c r="CJ9" s="57"/>
      <c r="CK9" s="57"/>
    </row>
    <row r="10" spans="1:93" ht="15.6">
      <c r="A10" s="201"/>
      <c r="B10" s="202"/>
      <c r="C10" s="203" t="str">
        <f>'Basic cost'!G3</f>
        <v>1USD=Rs.(with forward premium rate)</v>
      </c>
      <c r="D10" s="525">
        <f>'Basic cost'!H3</f>
        <v>68.096249999999998</v>
      </c>
      <c r="E10" s="204"/>
      <c r="F10" s="205"/>
      <c r="G10" s="206"/>
      <c r="H10" s="206"/>
      <c r="I10" s="206"/>
      <c r="J10" s="207"/>
      <c r="K10" s="206"/>
      <c r="L10" s="207"/>
      <c r="M10" s="206"/>
      <c r="N10" s="208"/>
      <c r="O10" s="206"/>
      <c r="P10" s="204"/>
      <c r="Q10" s="204"/>
      <c r="R10" s="204"/>
      <c r="S10" s="204"/>
      <c r="T10" s="204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7"/>
      <c r="AW10" s="27"/>
      <c r="AX10" s="27"/>
      <c r="AY10" s="27"/>
      <c r="AZ10" s="27"/>
      <c r="BA10" s="27"/>
      <c r="BB10" s="485" t="s">
        <v>363</v>
      </c>
      <c r="BC10" s="488"/>
      <c r="BD10" s="17"/>
      <c r="BE10" s="4"/>
      <c r="BF10" s="4"/>
      <c r="BG10" s="4"/>
      <c r="BH10" s="133">
        <v>0.8</v>
      </c>
      <c r="BI10" s="135" t="s">
        <v>208</v>
      </c>
      <c r="BJ10" s="15">
        <f>+BJ1*BH10</f>
        <v>5.4691928366217386</v>
      </c>
      <c r="BK10" s="15">
        <f>+BJ10*BK8</f>
        <v>0</v>
      </c>
      <c r="BL10" s="15">
        <f>+BJ10*BL8</f>
        <v>5.4691928366217386</v>
      </c>
      <c r="BM10" s="135">
        <f>BL10*BM9/2</f>
        <v>0.27345964183108695</v>
      </c>
      <c r="BN10" s="15">
        <f>+BM10+BL10+BK10</f>
        <v>5.7426524784528254</v>
      </c>
      <c r="BO10" s="7"/>
      <c r="BP10" s="7"/>
      <c r="BQ10" s="7"/>
      <c r="BR10" s="7"/>
      <c r="BS10" s="7"/>
      <c r="BT10" s="4"/>
      <c r="BU10" s="4"/>
      <c r="CJ10" s="5"/>
      <c r="CK10" s="5"/>
    </row>
    <row r="11" spans="1:93" ht="15.6">
      <c r="A11" s="201"/>
      <c r="B11" s="201"/>
      <c r="C11" s="203" t="str">
        <f>'Basic cost'!E3</f>
        <v>1EURO=Rs.(with forward premium rate)</v>
      </c>
      <c r="D11" s="525">
        <f>'Basic cost'!F3</f>
        <v>74.878282187500005</v>
      </c>
      <c r="E11" s="209"/>
      <c r="F11" s="210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1"/>
      <c r="S11" s="201"/>
      <c r="T11" s="204"/>
      <c r="U11" s="201"/>
      <c r="V11" s="201"/>
      <c r="W11" s="201"/>
      <c r="X11" s="201"/>
      <c r="Y11" s="201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/>
      <c r="AO11" s="204"/>
      <c r="AP11" s="201"/>
      <c r="AQ11" s="201"/>
      <c r="AR11" s="201"/>
      <c r="AS11" s="204"/>
      <c r="AT11" s="201"/>
      <c r="AU11" s="201"/>
      <c r="AV11" s="21"/>
      <c r="AW11" s="27"/>
      <c r="AX11" s="27"/>
      <c r="AY11" s="27"/>
      <c r="AZ11" s="27"/>
      <c r="BA11" s="27"/>
      <c r="BB11" s="485" t="s">
        <v>364</v>
      </c>
      <c r="BC11" s="488"/>
      <c r="BD11" s="17"/>
      <c r="BE11" s="8"/>
      <c r="BG11" s="4"/>
      <c r="BH11" s="133">
        <v>0.1</v>
      </c>
      <c r="BI11" s="135" t="s">
        <v>485</v>
      </c>
      <c r="BJ11" s="15">
        <f>+BJ1*BH11</f>
        <v>0.68364910457771733</v>
      </c>
      <c r="BK11" s="15">
        <f>+BJ11*BK8</f>
        <v>0</v>
      </c>
      <c r="BL11" s="15">
        <f>+BJ11*BL8</f>
        <v>0.68364910457771733</v>
      </c>
      <c r="BM11" s="135">
        <f>(BL11*BM9/2+BL10*BM9)*2/12</f>
        <v>9.6850289815176627E-2</v>
      </c>
      <c r="BN11" s="15">
        <f>+BM11+BL11+BK11</f>
        <v>0.78049939439289395</v>
      </c>
      <c r="BO11" s="7"/>
      <c r="BP11" s="7"/>
      <c r="BQ11" s="7"/>
      <c r="BR11" s="7"/>
      <c r="BS11" s="7"/>
      <c r="BU11" s="4"/>
    </row>
    <row r="12" spans="1:93" ht="15.6">
      <c r="A12" s="197" t="s">
        <v>192</v>
      </c>
      <c r="B12" s="197" t="s">
        <v>82</v>
      </c>
      <c r="C12" s="197" t="s">
        <v>25</v>
      </c>
      <c r="D12" s="197" t="s">
        <v>28</v>
      </c>
      <c r="E12" s="197"/>
      <c r="F12" s="197"/>
      <c r="G12" s="197"/>
      <c r="H12" s="197" t="s">
        <v>83</v>
      </c>
      <c r="I12" s="197"/>
      <c r="J12" s="197" t="s">
        <v>84</v>
      </c>
      <c r="K12" s="197"/>
      <c r="L12" s="766" t="s">
        <v>85</v>
      </c>
      <c r="M12" s="766"/>
      <c r="N12" s="766" t="s">
        <v>86</v>
      </c>
      <c r="O12" s="766"/>
      <c r="P12" s="756" t="s">
        <v>87</v>
      </c>
      <c r="Q12" s="756"/>
      <c r="R12" s="756" t="s">
        <v>88</v>
      </c>
      <c r="S12" s="756"/>
      <c r="T12" s="756"/>
      <c r="U12" s="756"/>
      <c r="V12" s="756" t="s">
        <v>89</v>
      </c>
      <c r="W12" s="756"/>
      <c r="X12" s="756"/>
      <c r="Y12" s="756"/>
      <c r="Z12" s="756" t="s">
        <v>90</v>
      </c>
      <c r="AA12" s="756"/>
      <c r="AB12" s="756"/>
      <c r="AC12" s="769" t="s">
        <v>91</v>
      </c>
      <c r="AD12" s="769"/>
      <c r="AE12" s="769"/>
      <c r="AF12" s="769"/>
      <c r="AG12" s="769"/>
      <c r="AH12" s="769" t="s">
        <v>371</v>
      </c>
      <c r="AI12" s="769"/>
      <c r="AJ12" s="769"/>
      <c r="AK12" s="756" t="s">
        <v>92</v>
      </c>
      <c r="AL12" s="756"/>
      <c r="AM12" s="756" t="s">
        <v>93</v>
      </c>
      <c r="AN12" s="756"/>
      <c r="AO12" s="756" t="s">
        <v>94</v>
      </c>
      <c r="AP12" s="756"/>
      <c r="AQ12" s="756" t="s">
        <v>95</v>
      </c>
      <c r="AR12" s="756"/>
      <c r="AS12" s="773" t="s">
        <v>96</v>
      </c>
      <c r="AT12" s="756"/>
      <c r="AU12" s="774"/>
      <c r="AV12" s="771" t="s">
        <v>135</v>
      </c>
      <c r="AW12" s="772"/>
      <c r="AX12" s="772"/>
      <c r="AY12" s="19"/>
      <c r="AZ12" s="49"/>
      <c r="BA12" s="481"/>
      <c r="BB12" s="485"/>
      <c r="BC12" s="488"/>
      <c r="BD12" s="17"/>
      <c r="BG12" s="4"/>
      <c r="BH12" s="133">
        <f>0.9-SUM(BH10:BH11)</f>
        <v>0</v>
      </c>
      <c r="BI12" s="135" t="s">
        <v>486</v>
      </c>
      <c r="BJ12" s="15">
        <f>+BJ1*BH12</f>
        <v>0</v>
      </c>
      <c r="BK12" s="15">
        <f>+BJ12*BK8</f>
        <v>0</v>
      </c>
      <c r="BL12" s="15">
        <f>+BJ12*BL8</f>
        <v>0</v>
      </c>
      <c r="BM12" s="135">
        <f>(BL12*BM9/2+(BL11+BL10)*BM9)*0/12</f>
        <v>0</v>
      </c>
      <c r="BN12" s="15">
        <f>+BM12+BL12+BK12</f>
        <v>0</v>
      </c>
      <c r="BO12" s="7"/>
      <c r="BP12" s="7"/>
      <c r="BQ12" s="7"/>
      <c r="BR12" s="7"/>
      <c r="BS12" s="7"/>
      <c r="BT12" s="8"/>
      <c r="BU12" s="4"/>
    </row>
    <row r="13" spans="1:93" ht="35.25" customHeight="1">
      <c r="A13" s="21"/>
      <c r="B13" s="21"/>
      <c r="C13" s="21" t="s">
        <v>6</v>
      </c>
      <c r="D13" s="760" t="s">
        <v>97</v>
      </c>
      <c r="E13" s="760"/>
      <c r="F13" s="760" t="s">
        <v>98</v>
      </c>
      <c r="G13" s="760"/>
      <c r="H13" s="21" t="s">
        <v>97</v>
      </c>
      <c r="I13" s="21" t="s">
        <v>98</v>
      </c>
      <c r="J13" s="21" t="s">
        <v>97</v>
      </c>
      <c r="K13" s="21" t="s">
        <v>98</v>
      </c>
      <c r="L13" s="21" t="s">
        <v>99</v>
      </c>
      <c r="M13" s="21" t="s">
        <v>100</v>
      </c>
      <c r="N13" s="21" t="s">
        <v>97</v>
      </c>
      <c r="O13" s="21" t="s">
        <v>98</v>
      </c>
      <c r="P13" s="463" t="s">
        <v>108</v>
      </c>
      <c r="Q13" s="503" t="s">
        <v>381</v>
      </c>
      <c r="R13" s="21" t="s">
        <v>44</v>
      </c>
      <c r="S13" s="21" t="s">
        <v>101</v>
      </c>
      <c r="T13" s="21" t="s">
        <v>74</v>
      </c>
      <c r="U13" s="21" t="s">
        <v>102</v>
      </c>
      <c r="V13" s="760" t="s">
        <v>103</v>
      </c>
      <c r="W13" s="760"/>
      <c r="X13" s="760"/>
      <c r="Y13" s="21" t="s">
        <v>104</v>
      </c>
      <c r="Z13" s="21" t="s">
        <v>105</v>
      </c>
      <c r="AA13" s="21" t="s">
        <v>106</v>
      </c>
      <c r="AB13" s="21" t="s">
        <v>106</v>
      </c>
      <c r="AC13" s="21" t="s">
        <v>174</v>
      </c>
      <c r="AD13" s="21" t="s">
        <v>368</v>
      </c>
      <c r="AE13" s="21" t="s">
        <v>107</v>
      </c>
      <c r="AF13" s="506" t="str">
        <f>BB61</f>
        <v>Social Welfare surcharge</v>
      </c>
      <c r="AG13" s="21" t="s">
        <v>368</v>
      </c>
      <c r="AH13" s="21" t="s">
        <v>368</v>
      </c>
      <c r="AI13" s="21" t="s">
        <v>368</v>
      </c>
      <c r="AJ13" s="21" t="s">
        <v>108</v>
      </c>
      <c r="AK13" s="21"/>
      <c r="AL13" s="21"/>
      <c r="AM13" s="21"/>
      <c r="AN13" s="21"/>
      <c r="AO13" s="21"/>
      <c r="AP13" s="21"/>
      <c r="AQ13" s="21"/>
      <c r="AR13" s="22"/>
      <c r="AS13" s="227"/>
      <c r="AT13" s="21"/>
      <c r="AU13" s="234"/>
      <c r="AV13" s="764" t="s">
        <v>137</v>
      </c>
      <c r="AW13" s="765"/>
      <c r="AX13" s="765"/>
      <c r="AZ13" s="4"/>
      <c r="BA13" s="482"/>
      <c r="BB13" s="485"/>
      <c r="BC13" s="488"/>
      <c r="BD13" s="17"/>
      <c r="BG13" s="4"/>
      <c r="BH13" s="9">
        <v>0.1</v>
      </c>
      <c r="BI13" s="15" t="s">
        <v>27</v>
      </c>
      <c r="BJ13" s="15">
        <f>+BJ1*BH13</f>
        <v>0.68364910457771733</v>
      </c>
      <c r="BK13" s="15">
        <f>+BJ13*BK8</f>
        <v>0</v>
      </c>
      <c r="BL13" s="15">
        <f>+BJ13*BL8</f>
        <v>0.68364910457771733</v>
      </c>
      <c r="BM13" s="15">
        <v>0</v>
      </c>
      <c r="BN13" s="15">
        <f>+BM13+BL13+BK13</f>
        <v>0.68364910457771733</v>
      </c>
      <c r="BO13" s="7"/>
      <c r="BP13" s="7"/>
      <c r="BQ13" s="7"/>
      <c r="BR13" s="7"/>
      <c r="BS13" s="7"/>
      <c r="BU13" s="4"/>
    </row>
    <row r="14" spans="1:93" ht="31.2">
      <c r="A14" s="197"/>
      <c r="B14" s="197"/>
      <c r="C14" s="197"/>
      <c r="D14" s="197" t="s">
        <v>109</v>
      </c>
      <c r="E14" s="197" t="s">
        <v>110</v>
      </c>
      <c r="F14" s="197" t="s">
        <v>109</v>
      </c>
      <c r="G14" s="197" t="s">
        <v>110</v>
      </c>
      <c r="H14" s="197"/>
      <c r="I14" s="197"/>
      <c r="J14" s="197"/>
      <c r="K14" s="197"/>
      <c r="L14" s="197" t="s">
        <v>98</v>
      </c>
      <c r="M14" s="197" t="s">
        <v>98</v>
      </c>
      <c r="N14" s="197"/>
      <c r="O14" s="197"/>
      <c r="P14" s="197"/>
      <c r="Q14" s="197"/>
      <c r="R14" s="197"/>
      <c r="S14" s="197"/>
      <c r="T14" s="197"/>
      <c r="U14" s="197"/>
      <c r="V14" s="226" t="s">
        <v>178</v>
      </c>
      <c r="W14" s="766" t="s">
        <v>179</v>
      </c>
      <c r="X14" s="766"/>
      <c r="Y14" s="197"/>
      <c r="Z14" s="197" t="s">
        <v>11</v>
      </c>
      <c r="AA14" s="197" t="s">
        <v>11</v>
      </c>
      <c r="AB14" s="197" t="s">
        <v>111</v>
      </c>
      <c r="AC14" s="197"/>
      <c r="AD14" s="197" t="s">
        <v>369</v>
      </c>
      <c r="AE14" s="197" t="s">
        <v>112</v>
      </c>
      <c r="AF14" s="197"/>
      <c r="AG14" s="197" t="s">
        <v>374</v>
      </c>
      <c r="AH14" s="197" t="s">
        <v>370</v>
      </c>
      <c r="AI14" s="197" t="s">
        <v>375</v>
      </c>
      <c r="AJ14" s="197"/>
      <c r="AK14" s="197"/>
      <c r="AL14" s="197"/>
      <c r="AM14" s="197"/>
      <c r="AN14" s="197"/>
      <c r="AO14" s="197"/>
      <c r="AP14" s="197"/>
      <c r="AQ14" s="197"/>
      <c r="AR14" s="197"/>
      <c r="AS14" s="228"/>
      <c r="AT14" s="197"/>
      <c r="AU14" s="46"/>
      <c r="AV14" s="46" t="s">
        <v>136</v>
      </c>
      <c r="AW14" s="5"/>
      <c r="AX14" s="5"/>
      <c r="AZ14" s="4"/>
      <c r="BA14" s="482"/>
      <c r="BB14" s="485"/>
      <c r="BC14" s="488"/>
      <c r="BD14" s="17"/>
      <c r="BG14" s="4"/>
      <c r="BH14" s="9">
        <f>SUM(BH10:BH13)</f>
        <v>1</v>
      </c>
      <c r="BI14" s="15" t="s">
        <v>5</v>
      </c>
      <c r="BJ14" s="15">
        <f>SUM(BJ10:BJ13)</f>
        <v>6.8364910457771728</v>
      </c>
      <c r="BK14" s="15">
        <f>SUM(BK10:BK13)</f>
        <v>0</v>
      </c>
      <c r="BL14" s="15">
        <f>SUM(BL10:BL13)</f>
        <v>6.8364910457771728</v>
      </c>
      <c r="BM14" s="15">
        <f>SUM(BM10:BM13)</f>
        <v>0.37030993164626358</v>
      </c>
      <c r="BN14" s="15">
        <f>SUM(BN10:BN13)</f>
        <v>7.2068009774234367</v>
      </c>
      <c r="BO14" s="7"/>
      <c r="BP14" s="7"/>
      <c r="BQ14" s="7"/>
      <c r="BR14" s="7"/>
      <c r="BS14" s="7"/>
      <c r="BU14" s="4"/>
    </row>
    <row r="15" spans="1:93" ht="15.6">
      <c r="A15" s="21"/>
      <c r="B15" s="21"/>
      <c r="C15" s="22"/>
      <c r="D15" s="21" t="s">
        <v>25</v>
      </c>
      <c r="E15" s="21" t="s">
        <v>25</v>
      </c>
      <c r="F15" s="21" t="s">
        <v>22</v>
      </c>
      <c r="G15" s="21" t="s">
        <v>22</v>
      </c>
      <c r="H15" s="21" t="s">
        <v>25</v>
      </c>
      <c r="I15" s="21" t="s">
        <v>22</v>
      </c>
      <c r="J15" s="21" t="s">
        <v>25</v>
      </c>
      <c r="K15" s="21" t="s">
        <v>22</v>
      </c>
      <c r="L15" s="21" t="s">
        <v>22</v>
      </c>
      <c r="M15" s="21" t="s">
        <v>22</v>
      </c>
      <c r="N15" s="21" t="s">
        <v>25</v>
      </c>
      <c r="O15" s="21" t="s">
        <v>22</v>
      </c>
      <c r="P15" s="21" t="s">
        <v>22</v>
      </c>
      <c r="Q15" s="21" t="s">
        <v>22</v>
      </c>
      <c r="R15" s="21" t="s">
        <v>22</v>
      </c>
      <c r="S15" s="21" t="s">
        <v>22</v>
      </c>
      <c r="T15" s="21" t="s">
        <v>22</v>
      </c>
      <c r="U15" s="21" t="s">
        <v>22</v>
      </c>
      <c r="V15" s="21" t="s">
        <v>25</v>
      </c>
      <c r="W15" s="21" t="s">
        <v>25</v>
      </c>
      <c r="X15" s="21" t="s">
        <v>22</v>
      </c>
      <c r="Y15" s="21" t="s">
        <v>22</v>
      </c>
      <c r="Z15" s="21" t="s">
        <v>25</v>
      </c>
      <c r="AA15" s="21" t="s">
        <v>22</v>
      </c>
      <c r="AB15" s="21" t="s">
        <v>22</v>
      </c>
      <c r="AC15" s="21" t="s">
        <v>22</v>
      </c>
      <c r="AD15" s="21" t="s">
        <v>22</v>
      </c>
      <c r="AE15" s="21" t="s">
        <v>22</v>
      </c>
      <c r="AF15" s="21" t="s">
        <v>22</v>
      </c>
      <c r="AG15" s="21" t="s">
        <v>22</v>
      </c>
      <c r="AH15" s="21" t="s">
        <v>22</v>
      </c>
      <c r="AI15" s="21" t="s">
        <v>22</v>
      </c>
      <c r="AJ15" s="21" t="s">
        <v>22</v>
      </c>
      <c r="AK15" s="21" t="s">
        <v>25</v>
      </c>
      <c r="AL15" s="21" t="s">
        <v>22</v>
      </c>
      <c r="AM15" s="21" t="s">
        <v>25</v>
      </c>
      <c r="AN15" s="21" t="s">
        <v>22</v>
      </c>
      <c r="AO15" s="21" t="s">
        <v>25</v>
      </c>
      <c r="AP15" s="21" t="s">
        <v>22</v>
      </c>
      <c r="AQ15" s="21" t="s">
        <v>25</v>
      </c>
      <c r="AR15" s="21" t="s">
        <v>22</v>
      </c>
      <c r="AS15" s="227" t="s">
        <v>25</v>
      </c>
      <c r="AT15" s="21" t="s">
        <v>22</v>
      </c>
      <c r="AU15" s="234" t="s">
        <v>48</v>
      </c>
      <c r="AV15" s="46" t="s">
        <v>22</v>
      </c>
      <c r="AW15" s="5" t="s">
        <v>22</v>
      </c>
      <c r="AX15" s="5" t="s">
        <v>48</v>
      </c>
      <c r="AZ15" s="4"/>
      <c r="BA15" s="482"/>
      <c r="BB15" s="485"/>
      <c r="BC15" s="489"/>
      <c r="BD15" s="17"/>
      <c r="BG15" s="4"/>
      <c r="BH15" s="4"/>
      <c r="BI15" s="15" t="s">
        <v>372</v>
      </c>
      <c r="BJ15" s="15"/>
      <c r="BK15" s="15"/>
      <c r="BL15" s="15"/>
      <c r="BM15" s="15"/>
      <c r="BN15" s="15">
        <f>AT25</f>
        <v>0.8423493307390062</v>
      </c>
      <c r="BO15" s="7"/>
      <c r="BP15" s="7"/>
      <c r="BQ15" s="7"/>
      <c r="BR15" s="7"/>
      <c r="BS15" s="7"/>
      <c r="BU15" s="4"/>
      <c r="CJ15" s="3">
        <f>+CI15*(1.3*1.04)+CI15*0.03</f>
        <v>0</v>
      </c>
    </row>
    <row r="16" spans="1:93" ht="20.25" customHeight="1">
      <c r="A16" s="197" t="s">
        <v>160</v>
      </c>
      <c r="B16" s="197" t="s">
        <v>49</v>
      </c>
      <c r="C16" s="197" t="s">
        <v>50</v>
      </c>
      <c r="D16" s="197" t="s">
        <v>51</v>
      </c>
      <c r="E16" s="197" t="s">
        <v>52</v>
      </c>
      <c r="F16" s="197" t="s">
        <v>53</v>
      </c>
      <c r="G16" s="197" t="s">
        <v>54</v>
      </c>
      <c r="H16" s="197" t="s">
        <v>55</v>
      </c>
      <c r="I16" s="197" t="s">
        <v>175</v>
      </c>
      <c r="J16" s="197" t="s">
        <v>56</v>
      </c>
      <c r="K16" s="197" t="s">
        <v>57</v>
      </c>
      <c r="L16" s="197" t="s">
        <v>58</v>
      </c>
      <c r="M16" s="197" t="s">
        <v>47</v>
      </c>
      <c r="N16" s="197" t="s">
        <v>59</v>
      </c>
      <c r="O16" s="197" t="s">
        <v>60</v>
      </c>
      <c r="P16" s="197" t="s">
        <v>61</v>
      </c>
      <c r="Q16" s="197"/>
      <c r="R16" s="197" t="s">
        <v>62</v>
      </c>
      <c r="S16" s="197" t="s">
        <v>63</v>
      </c>
      <c r="T16" s="225" t="s">
        <v>64</v>
      </c>
      <c r="U16" s="197" t="s">
        <v>30</v>
      </c>
      <c r="V16" s="197" t="s">
        <v>65</v>
      </c>
      <c r="W16" s="197" t="s">
        <v>66</v>
      </c>
      <c r="X16" s="197" t="s">
        <v>67</v>
      </c>
      <c r="Y16" s="197" t="s">
        <v>68</v>
      </c>
      <c r="Z16" s="197" t="s">
        <v>69</v>
      </c>
      <c r="AA16" s="197" t="s">
        <v>70</v>
      </c>
      <c r="AB16" s="197" t="s">
        <v>113</v>
      </c>
      <c r="AC16" s="197" t="s">
        <v>114</v>
      </c>
      <c r="AD16" s="197" t="s">
        <v>115</v>
      </c>
      <c r="AE16" s="197" t="s">
        <v>116</v>
      </c>
      <c r="AF16" s="197" t="s">
        <v>117</v>
      </c>
      <c r="AG16" s="197" t="s">
        <v>118</v>
      </c>
      <c r="AH16" s="197" t="s">
        <v>119</v>
      </c>
      <c r="AI16" s="197" t="s">
        <v>120</v>
      </c>
      <c r="AJ16" s="197" t="s">
        <v>121</v>
      </c>
      <c r="AK16" s="197" t="s">
        <v>122</v>
      </c>
      <c r="AL16" s="197" t="s">
        <v>123</v>
      </c>
      <c r="AM16" s="197" t="s">
        <v>124</v>
      </c>
      <c r="AN16" s="197" t="s">
        <v>125</v>
      </c>
      <c r="AO16" s="197" t="s">
        <v>126</v>
      </c>
      <c r="AP16" s="197" t="s">
        <v>127</v>
      </c>
      <c r="AQ16" s="197" t="s">
        <v>128</v>
      </c>
      <c r="AR16" s="197" t="s">
        <v>129</v>
      </c>
      <c r="AS16" s="228" t="s">
        <v>130</v>
      </c>
      <c r="AT16" s="197" t="s">
        <v>181</v>
      </c>
      <c r="AU16" s="46" t="s">
        <v>182</v>
      </c>
      <c r="AV16" s="46" t="s">
        <v>130</v>
      </c>
      <c r="AW16" s="5"/>
      <c r="AX16" s="5"/>
      <c r="AZ16" s="4"/>
      <c r="BA16" s="482"/>
      <c r="BB16" s="485"/>
      <c r="BC16" s="489"/>
      <c r="BD16" s="17"/>
      <c r="BG16" s="4"/>
      <c r="BH16" s="4"/>
      <c r="BI16" s="15" t="s">
        <v>382</v>
      </c>
      <c r="BJ16" s="15"/>
      <c r="BK16" s="15"/>
      <c r="BL16" s="15"/>
      <c r="BM16" s="15"/>
      <c r="BN16" s="15">
        <f>+BN14-BN15</f>
        <v>6.3644516466844303</v>
      </c>
      <c r="BO16" s="7"/>
      <c r="BP16" s="7"/>
      <c r="BQ16" s="7"/>
      <c r="BR16" s="7"/>
      <c r="BS16" s="7"/>
      <c r="BU16" s="4"/>
      <c r="CJ16" s="3">
        <f>+CI16*(1.3*1.04)+CI16*0.03</f>
        <v>0</v>
      </c>
    </row>
    <row r="17" spans="1:73" s="61" customFormat="1" ht="21" customHeight="1">
      <c r="A17" s="148"/>
      <c r="B17" s="149"/>
      <c r="C17" s="150"/>
      <c r="D17" s="151"/>
      <c r="E17" s="151"/>
      <c r="F17" s="151"/>
      <c r="G17" s="151"/>
      <c r="H17" s="151"/>
      <c r="I17" s="151"/>
      <c r="J17" s="152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2"/>
      <c r="AL17" s="151"/>
      <c r="AM17" s="151"/>
      <c r="AN17" s="151"/>
      <c r="AO17" s="151"/>
      <c r="AP17" s="152"/>
      <c r="AQ17" s="151"/>
      <c r="AR17" s="151"/>
      <c r="AS17" s="229"/>
      <c r="AT17" s="151"/>
      <c r="AU17" s="235"/>
      <c r="AV17" s="198"/>
      <c r="AZ17" s="60"/>
      <c r="BA17" s="483"/>
      <c r="BB17" s="485"/>
      <c r="BC17" s="488"/>
      <c r="BD17" s="484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U17" s="60"/>
    </row>
    <row r="18" spans="1:73" s="59" customFormat="1" ht="36" customHeight="1">
      <c r="A18" s="223" t="s">
        <v>204</v>
      </c>
      <c r="B18" s="459" t="str">
        <f>'Basic cost'!B5</f>
        <v>Soil investigation &amp; Underground Mapping</v>
      </c>
      <c r="C18" s="218"/>
      <c r="D18" s="219"/>
      <c r="E18" s="219"/>
      <c r="F18" s="219"/>
      <c r="G18" s="219"/>
      <c r="H18" s="219"/>
      <c r="I18" s="219"/>
      <c r="J18" s="220"/>
      <c r="K18" s="219"/>
      <c r="L18" s="219"/>
      <c r="M18" s="219"/>
      <c r="N18" s="219"/>
      <c r="O18" s="219"/>
      <c r="P18" s="219"/>
      <c r="Q18" s="219">
        <f>'Basic cost'!F8/100</f>
        <v>4.8000000000000001E-2</v>
      </c>
      <c r="R18" s="219">
        <f>($BD$25*(D18+$BC$40*D18)+$BC$25*F18)</f>
        <v>0</v>
      </c>
      <c r="S18" s="221">
        <f>$BC$27*(J18+$BC$40*J18+K18+L18+M18)</f>
        <v>0</v>
      </c>
      <c r="T18" s="219">
        <f>$BC$29*(N18+$BC$40*N18+O18)</f>
        <v>0</v>
      </c>
      <c r="U18" s="219"/>
      <c r="V18" s="219">
        <f>$BC$34*(D18+J18+N18+$BC$40*(D18+J18+N18)+F18+K18+L18+M18+O18+P18+R18+S18+T18+U18)*0</f>
        <v>0</v>
      </c>
      <c r="W18" s="219">
        <f>($BC$35*(D18+J18+N18+$BC$40*(D18+J18+N18)+F18+K18+L18+M18+O18+P18+Q18+R18+S18+T18+U18))*0</f>
        <v>0</v>
      </c>
      <c r="X18" s="219">
        <f>$BC$36*(D18+J18+N18+$BC$40*(D18+J18+N18)+F18+K18+L18+M18+O18+P18+Q18+R18+S18+T18+U18)*0</f>
        <v>0</v>
      </c>
      <c r="Y18" s="221">
        <f>$BC$33*(D18+J18+N18+$BC$40*(D18+J18+N18)+F18+K18+L18+M18+O18+P18+Q18+R18+S18+T18+U18)</f>
        <v>1.2000000000000001E-3</v>
      </c>
      <c r="Z18" s="219">
        <f>$BC$40*(D18+H18+J18+N18)</f>
        <v>0</v>
      </c>
      <c r="AA18" s="219">
        <f>($BC$43*(D18+H18+$BC$40*(D18+H18))+$BC$45*(J18+N18+$BC$40*(J18+N18)))</f>
        <v>0</v>
      </c>
      <c r="AB18" s="219">
        <f>$BC$47*(F18+I18)+$BC$49*(K18+L18+O18)</f>
        <v>0</v>
      </c>
      <c r="AC18" s="219">
        <f>$BC$53*(D18+H18+J18+N18+Z18)</f>
        <v>0</v>
      </c>
      <c r="AD18" s="219">
        <f>$BC$54*((D18+E18+H18+J18+N18+Z18)+AC18+AF18)</f>
        <v>0</v>
      </c>
      <c r="AE18" s="219">
        <f>$BC$59*(E18+V18+W18+AK18+AM18+AO18)</f>
        <v>0</v>
      </c>
      <c r="AF18" s="221">
        <f>$BC$61*(AC18)</f>
        <v>0</v>
      </c>
      <c r="AG18" s="219">
        <f>$BC$55*(E18+V18+W18+AE18+AK18+AM18+AO18)</f>
        <v>0</v>
      </c>
      <c r="AH18" s="219">
        <f>$BC$56*(F18+G18+I18+K18+L18+M18+O18)</f>
        <v>0</v>
      </c>
      <c r="AI18" s="219">
        <f>$BC$57*(G18+P18+Q18+R18+S18+T18+U18+X18+AL18+AN18+AP18)+$BC$58*(AA18+AB18)</f>
        <v>8.6400000000000001E-3</v>
      </c>
      <c r="AJ18" s="219"/>
      <c r="AK18" s="220"/>
      <c r="AL18" s="219"/>
      <c r="AM18" s="219"/>
      <c r="AN18" s="219"/>
      <c r="AO18" s="219"/>
      <c r="AP18" s="220"/>
      <c r="AQ18" s="219">
        <f>+$BC$63*(D18+E18+H18+J18+N18+V18+W18+Z18+AK18+AM18+AO18)</f>
        <v>0</v>
      </c>
      <c r="AR18" s="219">
        <f>+$BC$63*(F18+G18+I18+K18+L18+M18+O18+P18+Q18+R18+S18+T18+U18+X18+Y18+AA18+AB18+AC18+AD18+AE18+AF18+AG18+AH18+AI18+AJ18+AL18+AN18+AP18)</f>
        <v>2.8920000000000005E-3</v>
      </c>
      <c r="AS18" s="230">
        <f>D18+E18+H18+J18+N18+V18+W18+Z18+AK18+AM18+AO18+AQ18</f>
        <v>0</v>
      </c>
      <c r="AT18" s="219">
        <f>(F18+G18+I18+K18+L18+M18+O18+P18+Q18+R18+S18+T18+U18+X18+Y18+AA18+AB18+AC18+AD18+AE18+AF18+AG18+AH18+AI18+AJ18+AL18+AN18+AP18+AR18)</f>
        <v>6.0732000000000001E-2</v>
      </c>
      <c r="AU18" s="236">
        <f>AS18+AT18</f>
        <v>6.0732000000000001E-2</v>
      </c>
      <c r="AV18" s="199"/>
      <c r="AW18" s="59">
        <f>AU18-AR18-AQ18-Y18</f>
        <v>5.6640000000000003E-2</v>
      </c>
      <c r="AX18" s="58">
        <f>AD18+AH18-$BC$56*(L18+M18)+$BC$55*(V18+W18+AE18+AK18+AM18+AO18)+$BC$57*(Q18+R18+T18+$BC$27*(J18+K18)+X18+AL18+AN18+AP18)+$BC$58*(AA18+AB18)</f>
        <v>8.6400000000000001E-3</v>
      </c>
      <c r="AY18" s="59">
        <f>AW18-AX18</f>
        <v>4.8000000000000001E-2</v>
      </c>
      <c r="AZ18" s="58"/>
      <c r="BA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U18" s="58"/>
    </row>
    <row r="19" spans="1:73" s="104" customFormat="1" ht="26.25" customHeight="1">
      <c r="A19" s="223" t="s">
        <v>205</v>
      </c>
      <c r="B19" s="224" t="str">
        <f>'Basic cost'!B11</f>
        <v>Main Package (Package - II)</v>
      </c>
      <c r="C19" s="218"/>
      <c r="D19" s="219">
        <f>'Basic cost'!H26/100</f>
        <v>0</v>
      </c>
      <c r="E19" s="219"/>
      <c r="F19" s="219">
        <f>'Basic cost'!F26/100</f>
        <v>2.7850670357142859</v>
      </c>
      <c r="G19" s="219"/>
      <c r="H19" s="219"/>
      <c r="I19" s="219"/>
      <c r="J19" s="220"/>
      <c r="K19" s="219">
        <f>'Basic cost'!F31/100</f>
        <v>0.49875000000000003</v>
      </c>
      <c r="L19" s="219"/>
      <c r="M19" s="219"/>
      <c r="N19" s="219"/>
      <c r="O19" s="219"/>
      <c r="P19" s="219">
        <f>'Basic cost'!F54/100</f>
        <v>0.31549175443478256</v>
      </c>
      <c r="Q19" s="219">
        <f>'Basic cost'!F63/100</f>
        <v>0.58256308730434792</v>
      </c>
      <c r="R19" s="219">
        <f>($BD$25*(D19+$BC$40*D19)+$BC$25*F19)</f>
        <v>0.33420804428571432</v>
      </c>
      <c r="S19" s="219">
        <f>$BC$27*(J19+$BC$40*J19+K19+L19+M19)</f>
        <v>9.9750000000000005E-2</v>
      </c>
      <c r="T19" s="219">
        <f>$BC$29*(N19+$BC$40*N19+O19)</f>
        <v>0</v>
      </c>
      <c r="U19" s="219">
        <f>'Basic cost'!F82/100</f>
        <v>0</v>
      </c>
      <c r="V19" s="219">
        <f>($BC$34*(D19+J19+N19+$BC$40*(D19+J19+N19)+F19+K19+L19+M19+O19+P19+R19+S19+T19+U19))*0</f>
        <v>0</v>
      </c>
      <c r="W19" s="219">
        <f>(($BC$35*(D19+J19+N19+$BC$40*(D19+J19+N19)+F19+K19+L19+M19+O19+P19+Q19+R19+S19+T19+U19)))*0</f>
        <v>0</v>
      </c>
      <c r="X19" s="219">
        <f>$BC$36*(D19+J19+N19+$BC$40*(D19+J19+N19)+F19+K19+L19+M19+O19+P19+Q19+R19+S19+T19+U19)</f>
        <v>0.23079149608695651</v>
      </c>
      <c r="Y19" s="219">
        <f>$BC$33*(D19+J19+N19+$BC$40*(D19+J19+N19)+F19+K19+L19+M19+O19+P19+Q19+R19+S19+T19+U19)+2000*2500/10^7</f>
        <v>0.6153957480434783</v>
      </c>
      <c r="Z19" s="219">
        <f>$BC$40*(D19+H19+J19+N19)</f>
        <v>0</v>
      </c>
      <c r="AA19" s="219">
        <f>($BC$43*(D19+H19+$BC$40*(D19+H19))+$BC$45*(J19+N19+$BC$40*(J19+N19)))</f>
        <v>0</v>
      </c>
      <c r="AB19" s="219">
        <f>$BC$47*(F19+I19)+$BC$49*(K19+L19+O19)</f>
        <v>0.10058884071428573</v>
      </c>
      <c r="AC19" s="219">
        <f>$BC$53*(D19+H19+J19+N19+Z19)</f>
        <v>0</v>
      </c>
      <c r="AD19" s="219">
        <f>$BC$54*((D19+E19+H19+J19+N19+Z19)+AC19+AF19)</f>
        <v>0</v>
      </c>
      <c r="AE19" s="219">
        <f>$BC$59*(V19+W19+AK19+AM19+AO19)</f>
        <v>0</v>
      </c>
      <c r="AF19" s="221">
        <f>$BC$61*(AC19)</f>
        <v>0</v>
      </c>
      <c r="AG19" s="219">
        <f>$BC$55*(V19+W19+AE19+AK19+AM19+AO19)</f>
        <v>0</v>
      </c>
      <c r="AH19" s="219">
        <f>$BC$56*(F19+G19+I19+K19+L19+M19+O19)</f>
        <v>0.59108706642857145</v>
      </c>
      <c r="AI19" s="219">
        <f>$BC$57*(P19+Q19+R19+S19+T19+U19+X19+AL19+AN19+AP19)+$BC$58*(AA19+AB19)</f>
        <v>0.29941078010869565</v>
      </c>
      <c r="AJ19" s="219"/>
      <c r="AK19" s="220">
        <f>'Basic cost'!H87/100</f>
        <v>0</v>
      </c>
      <c r="AL19" s="219">
        <f>'Basic cost'!F87/100</f>
        <v>0</v>
      </c>
      <c r="AM19" s="219">
        <f>'Basic cost'!H92/100</f>
        <v>0</v>
      </c>
      <c r="AN19" s="219">
        <f>'Basic cost'!F92/100</f>
        <v>0</v>
      </c>
      <c r="AO19" s="219"/>
      <c r="AP19" s="220"/>
      <c r="AQ19" s="219">
        <f>+$BC$63*(D19+E19+H19+J19+N19+V19+W19+Z19+AK19+AM19+AO19)</f>
        <v>0</v>
      </c>
      <c r="AR19" s="219">
        <f>+$BC$63*(F19+G19+I19+K19+L19+M19+O19+P19+Q19+R19+S19+T19+U19+X19+Y19+AA19+AB19+AC19+AD19+AE19+AF19+AG19+AH19+AI19+AJ19+AL19+AN19+AP19)</f>
        <v>0.32265519265605591</v>
      </c>
      <c r="AS19" s="230">
        <f>D19+E19+H19+J19+N19+V19+W19+Z19+AK19+AM19+AO19+AQ19</f>
        <v>0</v>
      </c>
      <c r="AT19" s="219">
        <f>(F19+G19+I19+K19+L19+M19+O19+P19+Q19+R19+S19+T19+U19+X19+Y19+AA19+AB19+AC19+AD19+AE19+AF19+AG19+AH19+AI19+AJ19+AL19+AN19+AP19+AR19)</f>
        <v>6.775759045777173</v>
      </c>
      <c r="AU19" s="236">
        <f>AS19+AT19</f>
        <v>6.775759045777173</v>
      </c>
      <c r="AV19" s="199"/>
      <c r="AW19" s="59">
        <f>AU19-AR19-AQ19-Y19</f>
        <v>5.8377081050776392</v>
      </c>
      <c r="AX19" s="58">
        <f>AD19+AH19-$BC$56*(L19+M19)+$BC$55*(V19+W19+AE19+AK19+AM19+AO19)+$BC$57*(Q19+R19+T19+$BC$27*(J19+K19)+X19+AL19+AN19+AP19)+$BC$58*(AA19+AB19)</f>
        <v>0.83370933073900622</v>
      </c>
      <c r="AY19" s="59">
        <f>AW19-AX19</f>
        <v>5.0039987743386334</v>
      </c>
      <c r="AZ19" s="103"/>
      <c r="BA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U19" s="103"/>
    </row>
    <row r="20" spans="1:73" s="104" customFormat="1" ht="32.25" customHeight="1">
      <c r="A20" s="223" t="s">
        <v>206</v>
      </c>
      <c r="B20" s="224">
        <f>'Basic cost'!B94</f>
        <v>0</v>
      </c>
      <c r="C20" s="218"/>
      <c r="D20" s="219">
        <f>'Basic cost'!H125/100</f>
        <v>0</v>
      </c>
      <c r="E20" s="219"/>
      <c r="F20" s="219">
        <f>'Basic cost'!F125/100</f>
        <v>0</v>
      </c>
      <c r="G20" s="219"/>
      <c r="H20" s="219"/>
      <c r="I20" s="219"/>
      <c r="J20" s="220">
        <f>'Basic cost'!H131/100</f>
        <v>0</v>
      </c>
      <c r="K20" s="219">
        <f>'Basic cost'!F131/100</f>
        <v>0</v>
      </c>
      <c r="L20" s="219">
        <f>'Basic cost'!F137/100</f>
        <v>0</v>
      </c>
      <c r="M20" s="219"/>
      <c r="N20" s="219">
        <f>'Basic cost'!H142/100</f>
        <v>0</v>
      </c>
      <c r="O20" s="219">
        <f>'Basic cost'!F142/100</f>
        <v>0</v>
      </c>
      <c r="P20" s="219">
        <f>'Basic cost'!F149/100</f>
        <v>0</v>
      </c>
      <c r="Q20" s="219">
        <f>'Basic cost'!F156/100</f>
        <v>0</v>
      </c>
      <c r="R20" s="219">
        <f>($BD$25*(D20+$BC$40*D20)+$BC$25*F20)</f>
        <v>0</v>
      </c>
      <c r="S20" s="219">
        <f>$BC$27*(J20+$BC$40*J20+K20+L20+M20)</f>
        <v>0</v>
      </c>
      <c r="T20" s="219">
        <f>$BC$29*(N20+$BC$40*N20+O20)</f>
        <v>0</v>
      </c>
      <c r="U20" s="219">
        <f>'Basic cost'!F161/100</f>
        <v>0</v>
      </c>
      <c r="V20" s="219">
        <f>$BC$34*(D20+J20+N20+$BC$40*(D20+J20+N20)+F20+K20+L20+M20+O20+P20+R20+S20+T20+U20)</f>
        <v>0</v>
      </c>
      <c r="W20" s="219">
        <f>($BC$35*(D20+J20+N20+$BC$40*(D20+J20+N20)+F20+K20+L20+M20+O20+P20+Q20+R20+S20+T20+U20))</f>
        <v>0</v>
      </c>
      <c r="X20" s="219">
        <f>$BC$36*(D20+J20+N20+$BC$40*(D20+J20+N20)+F20+K20+L20+M20+O20+P20+Q20+R20+S20+T20+U20)</f>
        <v>0</v>
      </c>
      <c r="Y20" s="219">
        <f>$BC$33*(D20+J20+N20+$BC$40*(D20+J20+N20)+F20+K20+L20+M20+O20+P20+Q20+R20+S20+T20+U20)</f>
        <v>0</v>
      </c>
      <c r="Z20" s="219">
        <f>$BC$40*(D20+H20+J20+N20)</f>
        <v>0</v>
      </c>
      <c r="AA20" s="219">
        <f>($BC$43*(D20+H20+$BC$40*(D20+H20))+$BC$45*(J20+N20+$BC$40*(J20+N20)))</f>
        <v>0</v>
      </c>
      <c r="AB20" s="219">
        <f>$BC$47*(F20+I20)+$BC$49*(K20+L20+O20)</f>
        <v>0</v>
      </c>
      <c r="AC20" s="219">
        <f>$BC$53*(D20+H20+J20+N20+Z20)</f>
        <v>0</v>
      </c>
      <c r="AD20" s="219">
        <f>$BC$54*((D20+E20+H20+J20+N20+Z20)+AC20+AF20)</f>
        <v>0</v>
      </c>
      <c r="AE20" s="219">
        <f>$BC$59*(V20+W20+AK20+AM20+AO20)</f>
        <v>0</v>
      </c>
      <c r="AF20" s="221">
        <f>$BC$61*(AC20)</f>
        <v>0</v>
      </c>
      <c r="AG20" s="219">
        <f>$BC$55*(V20+W20+AE20+AK20+AM20+AO20)</f>
        <v>0</v>
      </c>
      <c r="AH20" s="219">
        <f>$BC$56*(F20+G20+I20+K20+L20+M20+O20)</f>
        <v>0</v>
      </c>
      <c r="AI20" s="219">
        <f>$BC$57*(P20+Q20+R20+S20+T20+U20+X20+AL20+AN20+AP20)+$BC$58*(AA20+AB20)</f>
        <v>0</v>
      </c>
      <c r="AJ20" s="219"/>
      <c r="AK20" s="220">
        <f>'Basic cost'!H166/100</f>
        <v>0</v>
      </c>
      <c r="AL20" s="219">
        <f>'Basic cost'!F166/100</f>
        <v>0</v>
      </c>
      <c r="AM20" s="219">
        <f>'Basic cost'!H171/100</f>
        <v>0</v>
      </c>
      <c r="AN20" s="219">
        <f>'Basic cost'!F171/100</f>
        <v>0</v>
      </c>
      <c r="AO20" s="219"/>
      <c r="AP20" s="220"/>
      <c r="AQ20" s="219">
        <f>+$BC$63*(D20+E20+H20+J20+N20+V20+W20+Z20+AK20+AM20+AO20)</f>
        <v>0</v>
      </c>
      <c r="AR20" s="219">
        <f>+$BC$63*(F20+G20+I20+K20+L20+M20+O20+P20+Q20+R20+S20+T20+U20+X20+Y20+AA20+AB20+AC20+AD20+AE20+AF20+AG20+AH20+AI20+AJ20+AL20+AN20+AP20)</f>
        <v>0</v>
      </c>
      <c r="AS20" s="230">
        <f>D20+E20+H20+J20+N20+V20+W20+Z20+AK20+AM20+AO20+AQ20</f>
        <v>0</v>
      </c>
      <c r="AT20" s="219">
        <f>(F20+G20+I20+K20+L20+M20+O20+P20+Q20+R20+S20+T20+U20+X20+Y20+AA20+AB20+AC20+AD20+AE20+AF20+AG20+AH20+AI20+AJ20+AL20+AN20+AP20+AR20)</f>
        <v>0</v>
      </c>
      <c r="AU20" s="236">
        <f>AS20+AT20</f>
        <v>0</v>
      </c>
      <c r="AV20" s="199"/>
      <c r="AW20" s="59">
        <f>AU20-AR20-AQ20-Y20</f>
        <v>0</v>
      </c>
      <c r="AX20" s="58">
        <f>AD20+AH20-$BC$56*(L20+M20)+$BC$55*(V20+W20+AE20+AK20+AM20+AO20)+$BC$57*(Q20+R20+T20+$BC$27*(J20+K20)+X20+AL20+AN20+AP20)+$BC$58*(AA20+AB20)</f>
        <v>0</v>
      </c>
      <c r="AY20" s="59">
        <f>AW20-AX20</f>
        <v>0</v>
      </c>
      <c r="AZ20" s="103"/>
      <c r="BA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U20" s="103"/>
    </row>
    <row r="21" spans="1:73" s="104" customFormat="1" ht="33.75" customHeight="1">
      <c r="A21" s="153" t="s">
        <v>238</v>
      </c>
      <c r="B21" s="460">
        <f>'Basic cost'!B173</f>
        <v>0</v>
      </c>
      <c r="C21" s="154"/>
      <c r="D21" s="155"/>
      <c r="E21" s="155"/>
      <c r="F21" s="155">
        <f>'Basic cost'!F176/100</f>
        <v>0</v>
      </c>
      <c r="G21" s="155"/>
      <c r="H21" s="155"/>
      <c r="I21" s="155"/>
      <c r="J21" s="156"/>
      <c r="K21" s="155"/>
      <c r="L21" s="155"/>
      <c r="M21" s="155"/>
      <c r="N21" s="155"/>
      <c r="O21" s="155"/>
      <c r="P21" s="155"/>
      <c r="Q21" s="155"/>
      <c r="R21" s="158">
        <f>($BD$25*(D21+$BC$40*D21)+$BC$25*F21)*0</f>
        <v>0</v>
      </c>
      <c r="S21" s="155">
        <f>$BC$27*(J21+$BC$40*J21+K21+L21+M21)</f>
        <v>0</v>
      </c>
      <c r="T21" s="155">
        <f>$BC$29*(N21+$BC$40*N21+O21)</f>
        <v>0</v>
      </c>
      <c r="U21" s="155"/>
      <c r="V21" s="155">
        <f>$BC$34*(D21+J21+N21+$BC$40*(D21+J21+N21)+F21+K21+L21+M21+O21+P21+R21+S21+T21+U21)*0</f>
        <v>0</v>
      </c>
      <c r="W21" s="155">
        <f>($BC$35*(D21+J21+N21+$BC$40*(D21+J21+N21)+F21+K21+L21+M21+O21+P21+Q21+R21+S21+T21+U21))*0</f>
        <v>0</v>
      </c>
      <c r="X21" s="158">
        <f>$BC$36*(D21+J21+N21+$BC$40*(D21+J21+N21)+F21+K21+L21+M21+O21+P21+Q21+R21+S21+T21+U21)*0</f>
        <v>0</v>
      </c>
      <c r="Y21" s="155">
        <f>$BC$33*(D21+J21+N21+$BC$40*(D21+J21+N21)+F21+K21+L21+M21+O21+P21+Q21+R21+S21+T21+U21)</f>
        <v>0</v>
      </c>
      <c r="Z21" s="155">
        <f>$BC$40*(D21+H21+J21+N21)</f>
        <v>0</v>
      </c>
      <c r="AA21" s="219">
        <f>($BC$43*(D21+H21+$BC$40*(D21+H21))+$BC$45*(J21+N21+$BC$40*(J21+N21)))</f>
        <v>0</v>
      </c>
      <c r="AB21" s="219">
        <f>$BC$47*(F21+I21)+$BC$49*(K21+L21+O21)</f>
        <v>0</v>
      </c>
      <c r="AC21" s="219">
        <f>$BC$53*(D21+H21+J21+N21+Z21)</f>
        <v>0</v>
      </c>
      <c r="AD21" s="219">
        <f>$BC$54*((D21+E21+H21+J21+N21+Z21)+AC21+AF21)</f>
        <v>0</v>
      </c>
      <c r="AE21" s="219">
        <f>$BC$59*(V21+W21+AK21+AM21+AO21)</f>
        <v>0</v>
      </c>
      <c r="AF21" s="221">
        <f>$BC$61*(AC21)</f>
        <v>0</v>
      </c>
      <c r="AG21" s="219">
        <f>$BC$55*(V21+W21+AE21+AK21+AM21+AO21)</f>
        <v>0</v>
      </c>
      <c r="AH21" s="219">
        <f>$BC$56*(F21+G21+I21+K21+L21+M21+O21)</f>
        <v>0</v>
      </c>
      <c r="AI21" s="219">
        <f>$BC$57*(P21+Q21+R21+S21+T21+U21+X21+AL21+AN21+AP21)+$BC$58*(AA21+AB21)</f>
        <v>0</v>
      </c>
      <c r="AJ21" s="219"/>
      <c r="AK21" s="220"/>
      <c r="AL21" s="219"/>
      <c r="AM21" s="219"/>
      <c r="AN21" s="219"/>
      <c r="AO21" s="219"/>
      <c r="AP21" s="220"/>
      <c r="AQ21" s="219">
        <f>+$BC$63*(D21+E21+H21+J21+N21+V21+W21+Z21+AK21+AM21+AO21)</f>
        <v>0</v>
      </c>
      <c r="AR21" s="219">
        <f>+$BC$63*(F21+G21+I21+K21+L21+M21+O21+P21+Q21+R21+S21+T21+U21+X21+Y21+AA21+AB21+AC21+AD21+AE21+AF21+AG21+AH21+AI21+AJ21+AL21+AN21+AP21)</f>
        <v>0</v>
      </c>
      <c r="AS21" s="230">
        <f>D21+E21+H21+J21+N21+V21+W21+Z21+AK21+AM21+AO21+AQ21</f>
        <v>0</v>
      </c>
      <c r="AT21" s="219">
        <f>(F21+G21+I21+K21+L21+M21+O21+P21+Q21+R21+S21+T21+U21+X21+Y21+AA21+AB21+AC21+AD21+AE21+AF21+AG21+AH21+AI21+AJ21+AL21+AN21+AP21+AR21)</f>
        <v>0</v>
      </c>
      <c r="AU21" s="236">
        <f>AS21+AT21</f>
        <v>0</v>
      </c>
      <c r="AV21" s="199"/>
      <c r="AW21" s="59">
        <f>AU21-AR21-AQ21-Y21</f>
        <v>0</v>
      </c>
      <c r="AX21" s="58">
        <f>AD21+AH21-$BC$56*(L21+M21)+$BC$55*(V21+W21+AE21+AK21+AM21+AO21)+$BC$57*(Q21+R21+T21+$BC$27*(J21+K21)+X21+AL21+AN21+AP21)+$BC$58*(AA21+AB21)</f>
        <v>0</v>
      </c>
      <c r="AY21" s="59">
        <f>AW21-AX21</f>
        <v>0</v>
      </c>
      <c r="AZ21" s="103"/>
      <c r="BA21" s="103"/>
      <c r="BE21" s="103"/>
      <c r="BF21" s="103"/>
      <c r="BG21" s="103"/>
      <c r="BH21" s="103"/>
      <c r="BI21" s="103"/>
      <c r="BJ21" s="103"/>
      <c r="BK21" s="103"/>
      <c r="BL21" s="103"/>
      <c r="BM21" s="103"/>
      <c r="BN21" s="103"/>
      <c r="BO21" s="103"/>
      <c r="BP21" s="103"/>
      <c r="BQ21" s="103"/>
      <c r="BR21" s="103"/>
      <c r="BU21" s="103"/>
    </row>
    <row r="22" spans="1:73" s="104" customFormat="1" ht="25.5" customHeight="1">
      <c r="A22" s="216">
        <v>1</v>
      </c>
      <c r="B22" s="217" t="s">
        <v>207</v>
      </c>
      <c r="C22" s="218"/>
      <c r="D22" s="219"/>
      <c r="E22" s="219"/>
      <c r="F22" s="219"/>
      <c r="G22" s="219"/>
      <c r="H22" s="219"/>
      <c r="I22" s="219"/>
      <c r="J22" s="220"/>
      <c r="K22" s="219"/>
      <c r="L22" s="219"/>
      <c r="M22" s="219"/>
      <c r="N22" s="219"/>
      <c r="O22" s="219"/>
      <c r="P22" s="219"/>
      <c r="Q22" s="219"/>
      <c r="R22" s="219"/>
      <c r="S22" s="221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20"/>
      <c r="AL22" s="219"/>
      <c r="AM22" s="219"/>
      <c r="AN22" s="219"/>
      <c r="AO22" s="219"/>
      <c r="AP22" s="220"/>
      <c r="AQ22" s="219"/>
      <c r="AR22" s="219"/>
      <c r="AS22" s="231">
        <f>SUM(AS18:AS21)</f>
        <v>0</v>
      </c>
      <c r="AT22" s="222">
        <f>SUM(AT18:AT21)</f>
        <v>6.8364910457771728</v>
      </c>
      <c r="AU22" s="237">
        <f>SUM(AU18:AU21)*Finan.summary!G21</f>
        <v>6.8364910457771728</v>
      </c>
      <c r="AV22" s="200"/>
      <c r="AX22" s="104">
        <f>SUM(AX18:AX21)</f>
        <v>0.8423493307390062</v>
      </c>
      <c r="AZ22" s="103"/>
      <c r="BA22" s="103"/>
      <c r="BB22" s="4" t="s">
        <v>7</v>
      </c>
      <c r="BC22" s="4"/>
      <c r="BD22" s="4"/>
      <c r="BE22" s="103"/>
      <c r="BF22" s="103"/>
      <c r="BG22" s="103"/>
      <c r="BH22" s="103"/>
      <c r="BI22" s="103"/>
      <c r="BJ22" s="103"/>
      <c r="BK22" s="103"/>
      <c r="BL22" s="103"/>
      <c r="BM22" s="103"/>
      <c r="BN22" s="103"/>
      <c r="BO22" s="103"/>
      <c r="BP22" s="103"/>
      <c r="BQ22" s="103"/>
      <c r="BR22" s="103"/>
      <c r="BU22" s="103"/>
    </row>
    <row r="23" spans="1:73" s="19" customFormat="1" ht="24.6">
      <c r="A23" s="159">
        <v>2</v>
      </c>
      <c r="B23" s="129" t="s">
        <v>8</v>
      </c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B23" s="151"/>
      <c r="AC23" s="151"/>
      <c r="AD23" s="151"/>
      <c r="AE23" s="151"/>
      <c r="AF23" s="151"/>
      <c r="AG23" s="151"/>
      <c r="AH23" s="151"/>
      <c r="AI23" s="219"/>
      <c r="AJ23" s="151"/>
      <c r="AK23" s="151"/>
      <c r="AL23" s="151"/>
      <c r="AM23" s="151"/>
      <c r="AN23" s="151"/>
      <c r="AO23" s="151"/>
      <c r="AP23" s="151"/>
      <c r="AQ23" s="151"/>
      <c r="AR23" s="151"/>
      <c r="AS23" s="229"/>
      <c r="AT23" s="151">
        <f>+BM14</f>
        <v>0.37030993164626358</v>
      </c>
      <c r="AU23" s="235">
        <f>+AT23+AS23</f>
        <v>0.37030993164626358</v>
      </c>
      <c r="AV23" s="188"/>
      <c r="AW23" s="49"/>
      <c r="AX23" s="49"/>
      <c r="AZ23" s="49"/>
      <c r="BA23" s="49"/>
      <c r="BB23" s="4"/>
      <c r="BC23" s="4"/>
      <c r="BD23" s="4"/>
      <c r="BE23" s="49"/>
      <c r="BF23" s="49"/>
      <c r="BG23" s="63"/>
      <c r="BN23" s="49"/>
      <c r="BU23" s="49"/>
    </row>
    <row r="24" spans="1:73" ht="27.75" customHeight="1">
      <c r="A24" s="212">
        <v>3</v>
      </c>
      <c r="B24" s="213" t="s">
        <v>186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  <c r="AC24" s="215"/>
      <c r="AD24" s="215"/>
      <c r="AE24" s="215"/>
      <c r="AF24" s="215"/>
      <c r="AG24" s="215"/>
      <c r="AH24" s="215"/>
      <c r="AI24" s="219"/>
      <c r="AJ24" s="215"/>
      <c r="AK24" s="215"/>
      <c r="AL24" s="215"/>
      <c r="AM24" s="215"/>
      <c r="AN24" s="215"/>
      <c r="AO24" s="215"/>
      <c r="AP24" s="215"/>
      <c r="AQ24" s="215"/>
      <c r="AR24" s="215"/>
      <c r="AS24" s="232">
        <f>SUM(AS22:AS23)</f>
        <v>0</v>
      </c>
      <c r="AT24" s="215">
        <f>SUM(AT22:AT23)</f>
        <v>7.2068009774234367</v>
      </c>
      <c r="AU24" s="238">
        <f>SUM(AU22:AU23)</f>
        <v>7.2068009774234367</v>
      </c>
      <c r="AV24" s="191"/>
      <c r="AW24" s="10"/>
      <c r="AX24" s="4"/>
      <c r="AZ24" s="4"/>
      <c r="BA24" s="4"/>
      <c r="BB24" s="4" t="s">
        <v>9</v>
      </c>
      <c r="BC24" s="4" t="s">
        <v>10</v>
      </c>
      <c r="BD24" s="4" t="s">
        <v>11</v>
      </c>
      <c r="BE24" s="4"/>
      <c r="BF24" s="4"/>
      <c r="BG24" s="4"/>
      <c r="BH24" s="5"/>
      <c r="BN24" s="4"/>
      <c r="BU24" s="4"/>
    </row>
    <row r="25" spans="1:73" ht="21.75" customHeight="1">
      <c r="A25" s="159">
        <v>4</v>
      </c>
      <c r="B25" s="129" t="s">
        <v>372</v>
      </c>
      <c r="C25" s="151"/>
      <c r="D25" s="151"/>
      <c r="E25" s="161">
        <f>SUM(E18:E21)</f>
        <v>0</v>
      </c>
      <c r="F25" s="151"/>
      <c r="G25" s="161">
        <f>SUM(G18:G21)</f>
        <v>0</v>
      </c>
      <c r="H25" s="151"/>
      <c r="I25" s="151"/>
      <c r="J25" s="161">
        <f>SUM(J18:J21)</f>
        <v>0</v>
      </c>
      <c r="K25" s="538">
        <f>SUM(K18:K21)</f>
        <v>0.49875000000000003</v>
      </c>
      <c r="L25" s="161">
        <f>SUM(L18:L21)</f>
        <v>0</v>
      </c>
      <c r="M25" s="161">
        <f>SUM(M18:M21)</f>
        <v>0</v>
      </c>
      <c r="N25" s="151"/>
      <c r="O25" s="151"/>
      <c r="P25" s="151"/>
      <c r="Q25" s="161">
        <f>SUM(Q18:Q21)</f>
        <v>0.63056308730434796</v>
      </c>
      <c r="R25" s="161">
        <f>SUM(R18:R21)</f>
        <v>0.33420804428571432</v>
      </c>
      <c r="S25" s="161">
        <f>SUM(S18:S21)-$BC$27*(L25+M25)</f>
        <v>9.9750000000000005E-2</v>
      </c>
      <c r="T25" s="161">
        <f>SUM(T18:T21)</f>
        <v>0</v>
      </c>
      <c r="U25" s="151"/>
      <c r="V25" s="161">
        <f>SUM(V18:V21)</f>
        <v>0</v>
      </c>
      <c r="W25" s="161">
        <f>SUM(W18:W21)</f>
        <v>0</v>
      </c>
      <c r="X25" s="161">
        <f>SUM(X18:X21)</f>
        <v>0.23079149608695651</v>
      </c>
      <c r="Y25" s="151"/>
      <c r="Z25" s="151"/>
      <c r="AA25" s="161">
        <f>SUM(AA18:AA21)</f>
        <v>0</v>
      </c>
      <c r="AB25" s="161">
        <f>SUM(AB18:AB21)</f>
        <v>0.10058884071428573</v>
      </c>
      <c r="AC25" s="151"/>
      <c r="AD25" s="162">
        <f>SUM(AD18:AD21)</f>
        <v>0</v>
      </c>
      <c r="AE25" s="161">
        <f>SUM(AE18:AE21)</f>
        <v>0</v>
      </c>
      <c r="AF25" s="151"/>
      <c r="AG25" s="162">
        <f>SUM(AG18:AG21)</f>
        <v>0</v>
      </c>
      <c r="AH25" s="162">
        <f>SUM(AH18:AH21)-$BC$56*(L25+M25)</f>
        <v>0.59108706642857145</v>
      </c>
      <c r="AI25" s="157">
        <f>$BC$57*(Q25+R25+T25+$BC$27*(J25+K25)+X25+AL25+AN25+AP25)+$BC$58*(AA25+AB25)</f>
        <v>0.2512622643104348</v>
      </c>
      <c r="AJ25" s="151"/>
      <c r="AK25" s="161">
        <f t="shared" ref="AK25:AP25" si="0">SUM(AK18:AK21)</f>
        <v>0</v>
      </c>
      <c r="AL25" s="161">
        <f t="shared" si="0"/>
        <v>0</v>
      </c>
      <c r="AM25" s="161">
        <f t="shared" si="0"/>
        <v>0</v>
      </c>
      <c r="AN25" s="161">
        <f t="shared" si="0"/>
        <v>0</v>
      </c>
      <c r="AO25" s="161">
        <f t="shared" si="0"/>
        <v>0</v>
      </c>
      <c r="AP25" s="161">
        <f t="shared" si="0"/>
        <v>0</v>
      </c>
      <c r="AQ25" s="151"/>
      <c r="AR25" s="151"/>
      <c r="AS25" s="229"/>
      <c r="AT25" s="151">
        <f>AD25+AG25+AH25+AI25</f>
        <v>0.8423493307390062</v>
      </c>
      <c r="AU25" s="235">
        <f>(+AT25+AS25)*Finan.summary!G21</f>
        <v>0.8423493307390062</v>
      </c>
      <c r="AV25" s="191"/>
      <c r="AW25" s="4"/>
      <c r="AX25" s="4"/>
      <c r="AZ25" s="4"/>
      <c r="BA25" s="4"/>
      <c r="BB25" s="4" t="s">
        <v>12</v>
      </c>
      <c r="BC25" s="11">
        <v>0.12</v>
      </c>
      <c r="BD25" s="136">
        <f>6%</f>
        <v>0.06</v>
      </c>
      <c r="BE25" s="4"/>
      <c r="BF25" s="4"/>
      <c r="BG25" s="6"/>
      <c r="BN25" s="4"/>
    </row>
    <row r="26" spans="1:73" s="18" customFormat="1" ht="26.25" customHeight="1">
      <c r="A26" s="212">
        <v>5</v>
      </c>
      <c r="B26" s="213" t="s">
        <v>373</v>
      </c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33"/>
      <c r="AT26" s="214"/>
      <c r="AU26" s="238">
        <f>+AU24-AU25</f>
        <v>6.3644516466844303</v>
      </c>
      <c r="AV26" s="211"/>
      <c r="AW26" s="26"/>
      <c r="AX26" s="26"/>
      <c r="AZ26" s="26"/>
      <c r="BA26" s="26"/>
      <c r="BB26" s="26" t="s">
        <v>13</v>
      </c>
      <c r="BC26" s="65"/>
      <c r="BD26" s="26"/>
      <c r="BE26" s="26"/>
      <c r="BF26" s="26"/>
      <c r="BM26" s="26"/>
      <c r="BN26" s="26"/>
    </row>
    <row r="27" spans="1:73" s="22" customFormat="1" ht="20.100000000000001" customHeight="1">
      <c r="A27" s="164"/>
      <c r="B27" s="129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W27" s="27"/>
      <c r="AX27" s="27"/>
      <c r="AY27" s="27"/>
      <c r="AZ27" s="27"/>
      <c r="BA27" s="27"/>
      <c r="BB27" s="27" t="s">
        <v>17</v>
      </c>
      <c r="BC27" s="163">
        <v>0.2</v>
      </c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R27" s="27"/>
      <c r="BS27" s="27"/>
      <c r="BT27" s="27"/>
      <c r="BU27" s="27"/>
    </row>
    <row r="28" spans="1:73" s="22" customFormat="1" ht="15.6">
      <c r="B28" s="27"/>
      <c r="C28" s="27"/>
      <c r="D28" s="27"/>
      <c r="E28" s="27"/>
      <c r="F28" s="27"/>
      <c r="H28" s="27"/>
      <c r="I28" s="27"/>
      <c r="J28" s="27"/>
      <c r="L28" s="27"/>
      <c r="M28" s="27"/>
      <c r="N28" s="27"/>
      <c r="O28" s="27"/>
      <c r="P28" s="51"/>
      <c r="Q28" s="51"/>
      <c r="R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51"/>
      <c r="AG28" s="51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51"/>
      <c r="AV28" s="27"/>
      <c r="AW28" s="27"/>
      <c r="AX28" s="27"/>
      <c r="AY28" s="27"/>
      <c r="AZ28" s="27"/>
      <c r="BA28" s="27"/>
      <c r="BB28" s="27" t="s">
        <v>21</v>
      </c>
      <c r="BC28" s="163"/>
      <c r="BD28" s="27"/>
      <c r="BE28" s="27"/>
      <c r="BF28" s="27"/>
      <c r="BG28" s="27"/>
      <c r="BH28" s="54"/>
      <c r="BI28" s="54"/>
      <c r="BK28" s="53"/>
      <c r="BL28" s="27"/>
      <c r="BM28" s="27"/>
      <c r="BN28" s="27"/>
      <c r="BR28" s="165"/>
      <c r="BS28" s="27"/>
      <c r="BT28" s="165"/>
      <c r="BU28" s="27"/>
    </row>
    <row r="29" spans="1:73" s="22" customFormat="1"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52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 t="s">
        <v>22</v>
      </c>
      <c r="BC29" s="163">
        <v>0.12</v>
      </c>
      <c r="BD29" s="27"/>
      <c r="BE29" s="27"/>
      <c r="BF29" s="27"/>
      <c r="BG29" s="166"/>
      <c r="BH29" s="54"/>
      <c r="BI29" s="54"/>
      <c r="BJ29" s="54"/>
      <c r="BK29" s="27"/>
      <c r="BL29" s="27"/>
      <c r="BM29" s="27"/>
      <c r="BN29" s="27"/>
      <c r="BP29" s="27"/>
      <c r="BQ29" s="27"/>
      <c r="BR29" s="27"/>
      <c r="BS29" s="27"/>
      <c r="BT29" s="27"/>
      <c r="BU29" s="27"/>
    </row>
    <row r="30" spans="1:73" s="22" customFormat="1">
      <c r="B30" s="27"/>
      <c r="C30" s="27"/>
      <c r="D30" s="27"/>
      <c r="E30" s="27"/>
      <c r="H30" s="27"/>
      <c r="I30" s="27"/>
      <c r="J30" s="27"/>
      <c r="K30" s="52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E30" s="163"/>
      <c r="BF30" s="27"/>
      <c r="BG30" s="27"/>
      <c r="BH30" s="54"/>
      <c r="BI30" s="54"/>
      <c r="BK30" s="27"/>
      <c r="BL30" s="27"/>
      <c r="BM30" s="27"/>
      <c r="BN30" s="27"/>
      <c r="BP30" s="27"/>
      <c r="BQ30" s="27"/>
      <c r="BR30" s="27"/>
      <c r="BS30" s="27"/>
      <c r="BT30" s="27"/>
      <c r="BU30" s="27"/>
    </row>
    <row r="31" spans="1:73" s="22" customFormat="1"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52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 t="s">
        <v>23</v>
      </c>
      <c r="BC31" s="163"/>
      <c r="BE31" s="27"/>
      <c r="BF31" s="27"/>
      <c r="BG31" s="27"/>
      <c r="BH31" s="54"/>
      <c r="BI31" s="54"/>
      <c r="BJ31" s="54"/>
      <c r="BK31" s="27"/>
      <c r="BL31" s="27"/>
      <c r="BM31" s="27"/>
      <c r="BN31" s="27"/>
      <c r="BP31" s="27"/>
      <c r="BQ31" s="27"/>
      <c r="BR31" s="27"/>
      <c r="BS31" s="27"/>
      <c r="BT31" s="27"/>
      <c r="BU31" s="27"/>
    </row>
    <row r="32" spans="1:73" s="22" customFormat="1"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 t="s">
        <v>24</v>
      </c>
      <c r="BC32" s="167">
        <v>0</v>
      </c>
      <c r="BD32" s="27"/>
      <c r="BE32" s="27"/>
      <c r="BF32" s="27"/>
      <c r="BG32" s="168"/>
      <c r="BH32" s="27"/>
      <c r="BI32" s="27"/>
      <c r="BJ32" s="27"/>
      <c r="BK32" s="27"/>
      <c r="BL32" s="27"/>
      <c r="BM32" s="27"/>
      <c r="BN32" s="27"/>
      <c r="BP32" s="27"/>
      <c r="BQ32" s="27"/>
      <c r="BR32" s="27"/>
      <c r="BS32" s="27"/>
      <c r="BT32" s="27"/>
      <c r="BU32" s="27"/>
    </row>
    <row r="33" spans="1:89" s="22" customFormat="1">
      <c r="B33" s="27"/>
      <c r="C33" s="27"/>
      <c r="F33" s="13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138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 t="s">
        <v>26</v>
      </c>
      <c r="BC33" s="169">
        <v>2.5000000000000001E-2</v>
      </c>
      <c r="BD33" s="27"/>
      <c r="BE33" s="27"/>
      <c r="BF33" s="27"/>
      <c r="BG33" s="168"/>
      <c r="BH33" s="27"/>
      <c r="BI33" s="27"/>
      <c r="BJ33" s="27"/>
      <c r="BK33" s="27"/>
      <c r="BL33" s="27"/>
      <c r="BM33" s="27"/>
      <c r="BN33" s="27"/>
      <c r="BP33" s="27"/>
      <c r="BQ33" s="27"/>
      <c r="BR33" s="27"/>
      <c r="BS33" s="27"/>
      <c r="BT33" s="27"/>
      <c r="BU33" s="27"/>
    </row>
    <row r="34" spans="1:89" s="22" customFormat="1">
      <c r="B34" s="27"/>
      <c r="C34" s="27"/>
      <c r="D34" s="27"/>
      <c r="E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 t="s">
        <v>180</v>
      </c>
      <c r="BC34" s="169">
        <v>0.01</v>
      </c>
      <c r="BD34" s="27" t="s">
        <v>239</v>
      </c>
      <c r="BE34" s="27"/>
      <c r="BF34" s="54"/>
      <c r="BG34" s="54"/>
      <c r="BH34" s="54"/>
      <c r="BI34" s="54"/>
      <c r="BJ34" s="54"/>
      <c r="BK34" s="54"/>
      <c r="BL34" s="54"/>
      <c r="BM34" s="54"/>
      <c r="BP34" s="27"/>
      <c r="BQ34" s="27"/>
      <c r="BR34" s="27"/>
      <c r="BS34" s="27" t="s">
        <v>0</v>
      </c>
      <c r="BT34" s="27"/>
      <c r="BU34" s="27"/>
    </row>
    <row r="35" spans="1:89" s="22" customFormat="1">
      <c r="B35" s="27"/>
      <c r="C35" s="27"/>
      <c r="D35" s="27"/>
      <c r="E35" s="147"/>
      <c r="F35" s="137"/>
      <c r="G35" s="170"/>
      <c r="H35" s="143"/>
      <c r="I35" s="143"/>
      <c r="J35" s="143"/>
      <c r="K35" s="143"/>
      <c r="L35" s="143"/>
      <c r="M35" s="143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 t="s">
        <v>29</v>
      </c>
      <c r="BC35" s="169">
        <v>2.5000000000000001E-2</v>
      </c>
      <c r="BD35" s="27"/>
      <c r="BE35" s="27"/>
      <c r="BF35" s="54"/>
      <c r="BG35" s="54"/>
      <c r="BH35" s="54"/>
      <c r="BI35" s="54"/>
      <c r="BJ35" s="54"/>
      <c r="BK35" s="54"/>
      <c r="BL35" s="54"/>
      <c r="BM35" s="54"/>
      <c r="BP35" s="27"/>
      <c r="BQ35" s="27"/>
      <c r="BR35" s="27"/>
      <c r="BS35" s="27"/>
      <c r="BT35" s="27"/>
      <c r="BU35" s="27"/>
    </row>
    <row r="36" spans="1:89" s="22" customFormat="1" ht="15.6">
      <c r="A36" s="21"/>
      <c r="B36" s="27"/>
      <c r="C36" s="27"/>
      <c r="D36" s="27"/>
      <c r="F36" s="137"/>
      <c r="G36" s="143"/>
      <c r="H36" s="143"/>
      <c r="I36" s="143"/>
      <c r="J36" s="144"/>
      <c r="K36" s="143"/>
      <c r="L36" s="144"/>
      <c r="M36" s="143"/>
      <c r="N36" s="145"/>
      <c r="O36" s="143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 t="s">
        <v>31</v>
      </c>
      <c r="BC36" s="169">
        <v>0.05</v>
      </c>
      <c r="BD36" s="27"/>
      <c r="BE36" s="27"/>
      <c r="BF36" s="54"/>
      <c r="BG36" s="54"/>
      <c r="BH36" s="54"/>
      <c r="BI36" s="54"/>
      <c r="BJ36" s="54"/>
      <c r="BK36" s="54"/>
      <c r="BL36" s="54"/>
      <c r="BM36" s="54"/>
      <c r="BP36" s="27"/>
      <c r="BQ36" s="27"/>
      <c r="BR36" s="27"/>
      <c r="BS36" s="27"/>
      <c r="BT36" s="27"/>
      <c r="BU36" s="27"/>
    </row>
    <row r="37" spans="1:89" s="22" customFormat="1" ht="15.6">
      <c r="A37" s="21"/>
      <c r="B37" s="21"/>
      <c r="C37" s="21"/>
      <c r="D37" s="21"/>
      <c r="E37" s="147"/>
      <c r="R37" s="21"/>
      <c r="S37" s="21"/>
      <c r="U37" s="21"/>
      <c r="V37" s="21"/>
      <c r="W37" s="21"/>
      <c r="X37" s="21"/>
      <c r="Y37" s="21"/>
      <c r="AP37" s="21"/>
      <c r="AQ37" s="21"/>
      <c r="AR37" s="21"/>
      <c r="AT37" s="21"/>
      <c r="AU37" s="21"/>
      <c r="AV37" s="21"/>
      <c r="AW37" s="27"/>
      <c r="AX37" s="27"/>
      <c r="AY37" s="27"/>
      <c r="AZ37" s="27"/>
      <c r="BA37" s="27"/>
      <c r="BB37" s="27"/>
      <c r="BC37" s="171">
        <f>SUM(BC35:BC36)</f>
        <v>7.5000000000000011E-2</v>
      </c>
      <c r="BD37" s="27"/>
      <c r="BE37" s="27"/>
      <c r="BF37" s="54"/>
      <c r="BG37" s="54"/>
      <c r="BH37" s="54"/>
      <c r="BI37" s="54"/>
      <c r="BJ37" s="54"/>
      <c r="BK37" s="54"/>
      <c r="BL37" s="54"/>
      <c r="BM37" s="54"/>
      <c r="BP37" s="27"/>
      <c r="BQ37" s="27"/>
      <c r="BR37" s="27"/>
      <c r="BS37" s="27"/>
      <c r="BT37" s="27"/>
      <c r="BU37" s="27"/>
    </row>
    <row r="38" spans="1:89" s="22" customFormat="1" ht="15.6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767"/>
      <c r="X38" s="768"/>
      <c r="Y38" s="768"/>
      <c r="Z38" s="768"/>
      <c r="AA38" s="21"/>
      <c r="AB38" s="21"/>
      <c r="AC38" s="21"/>
      <c r="AD38" s="21"/>
      <c r="AE38" s="21"/>
      <c r="AF38" s="21"/>
      <c r="AG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172"/>
      <c r="AU38" s="127"/>
      <c r="AV38" s="127"/>
      <c r="AW38" s="27"/>
      <c r="AX38" s="27"/>
      <c r="AY38" s="27"/>
      <c r="AZ38" s="27"/>
      <c r="BA38" s="27"/>
      <c r="BB38" s="92"/>
      <c r="BC38" s="92"/>
      <c r="BD38" s="173"/>
      <c r="BE38" s="27"/>
      <c r="BF38" s="54"/>
      <c r="BG38" s="54"/>
      <c r="BH38" s="54"/>
      <c r="BI38" s="54"/>
      <c r="BJ38" s="54"/>
      <c r="BK38" s="54"/>
      <c r="BL38" s="54"/>
      <c r="BM38" s="54"/>
      <c r="BP38" s="27"/>
      <c r="BQ38" s="27"/>
      <c r="BR38" s="27"/>
      <c r="BS38" s="27"/>
      <c r="BT38" s="27"/>
      <c r="BU38" s="27"/>
    </row>
    <row r="39" spans="1:89" s="22" customFormat="1" ht="15.6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Y39" s="767"/>
      <c r="Z39" s="768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T39" s="21"/>
      <c r="AU39" s="21"/>
      <c r="AV39" s="21"/>
      <c r="AW39" s="27"/>
      <c r="AX39" s="27"/>
      <c r="AY39" s="27"/>
      <c r="AZ39" s="27"/>
      <c r="BA39" s="27"/>
      <c r="BB39" s="27" t="s">
        <v>32</v>
      </c>
      <c r="BC39" s="163"/>
      <c r="BD39" s="173"/>
      <c r="BE39" s="27"/>
      <c r="BF39" s="54"/>
      <c r="BG39" s="54"/>
      <c r="BH39" s="54"/>
      <c r="BI39" s="54"/>
      <c r="BJ39" s="54"/>
      <c r="BK39" s="54"/>
      <c r="BL39" s="54"/>
      <c r="BM39" s="54"/>
      <c r="BP39" s="27"/>
      <c r="BQ39" s="27"/>
      <c r="BR39" s="27"/>
      <c r="BS39" s="27"/>
      <c r="BT39" s="27"/>
      <c r="BU39" s="27"/>
      <c r="CJ39" s="174"/>
      <c r="CK39" s="174"/>
    </row>
    <row r="40" spans="1:89" s="22" customFormat="1" ht="15.6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7"/>
      <c r="AX40" s="27"/>
      <c r="AY40" s="27"/>
      <c r="AZ40" s="27"/>
      <c r="BA40" s="27"/>
      <c r="BB40" s="27" t="s">
        <v>33</v>
      </c>
      <c r="BC40" s="163">
        <v>7.0000000000000007E-2</v>
      </c>
      <c r="BD40" s="27"/>
      <c r="BE40" s="27"/>
      <c r="BF40" s="54"/>
      <c r="BG40" s="54"/>
      <c r="BH40" s="54"/>
      <c r="BI40" s="54"/>
      <c r="BJ40" s="54"/>
      <c r="BK40" s="54"/>
      <c r="BL40" s="54"/>
      <c r="BM40" s="54"/>
      <c r="BP40" s="27"/>
      <c r="BQ40" s="27"/>
      <c r="BR40" s="27"/>
      <c r="BS40" s="27"/>
      <c r="BT40" s="27"/>
      <c r="BU40" s="27"/>
      <c r="CJ40" s="174"/>
      <c r="CK40" s="174"/>
    </row>
    <row r="41" spans="1:89" s="22" customFormat="1" ht="15.6">
      <c r="A41" s="21"/>
      <c r="B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7"/>
      <c r="AX41" s="27"/>
      <c r="AY41" s="27"/>
      <c r="AZ41" s="27"/>
      <c r="BA41" s="27"/>
      <c r="BB41" s="27" t="s">
        <v>34</v>
      </c>
      <c r="BC41" s="163"/>
      <c r="BD41" s="27"/>
      <c r="BE41" s="27"/>
      <c r="BF41" s="27"/>
      <c r="BG41" s="165"/>
      <c r="BP41" s="27"/>
      <c r="BQ41" s="27"/>
      <c r="BR41" s="27"/>
      <c r="BS41" s="27"/>
      <c r="BT41" s="27"/>
      <c r="BU41" s="27"/>
      <c r="CJ41" s="174"/>
      <c r="CK41" s="174"/>
    </row>
    <row r="42" spans="1:89" s="22" customFormat="1" ht="15.6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147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7"/>
      <c r="AX42" s="27"/>
      <c r="AY42" s="27"/>
      <c r="AZ42" s="27"/>
      <c r="BA42" s="27"/>
      <c r="BB42" s="27" t="s">
        <v>35</v>
      </c>
      <c r="BC42" s="163"/>
      <c r="BD42" s="27"/>
      <c r="BE42" s="27"/>
      <c r="BF42" s="27"/>
      <c r="BG42" s="165"/>
      <c r="BQ42" s="27"/>
      <c r="BR42" s="27"/>
      <c r="BS42" s="27"/>
      <c r="BT42" s="27"/>
      <c r="BU42" s="27"/>
      <c r="CJ42" s="174"/>
      <c r="CK42" s="174"/>
    </row>
    <row r="43" spans="1:89" s="22" customFormat="1" ht="14.1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7"/>
      <c r="AX43" s="27"/>
      <c r="AY43" s="27"/>
      <c r="AZ43" s="27"/>
      <c r="BA43" s="27"/>
      <c r="BB43" s="27" t="s">
        <v>36</v>
      </c>
      <c r="BC43" s="163">
        <v>0.03</v>
      </c>
      <c r="BD43" s="27"/>
      <c r="BE43" s="27"/>
      <c r="BF43" s="27"/>
      <c r="BG43" s="27"/>
      <c r="BQ43" s="27"/>
      <c r="BR43" s="27"/>
      <c r="BS43" s="27"/>
      <c r="BT43" s="27"/>
      <c r="BU43" s="27"/>
      <c r="CJ43" s="174"/>
      <c r="CK43" s="174"/>
    </row>
    <row r="44" spans="1:89" s="22" customFormat="1">
      <c r="A44" s="24"/>
      <c r="C44" s="20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 t="s">
        <v>37</v>
      </c>
      <c r="BC44" s="163"/>
      <c r="BD44" s="27"/>
      <c r="BE44" s="27"/>
      <c r="BF44" s="27"/>
      <c r="BG44" s="27"/>
      <c r="BH44" s="27"/>
      <c r="BI44" s="27"/>
      <c r="BJ44" s="27"/>
      <c r="BK44" s="27"/>
      <c r="BL44" s="175"/>
      <c r="BM44" s="27"/>
      <c r="BN44" s="27"/>
      <c r="BO44" s="27"/>
      <c r="BP44" s="27"/>
      <c r="BQ44" s="27"/>
      <c r="BR44" s="27"/>
      <c r="BS44" s="27"/>
      <c r="BT44" s="27"/>
      <c r="BU44" s="27"/>
      <c r="CJ44" s="174"/>
      <c r="CK44" s="174"/>
    </row>
    <row r="45" spans="1:89" s="22" customFormat="1">
      <c r="A45" s="24"/>
      <c r="C45" s="20"/>
      <c r="D45" s="27"/>
      <c r="E45" s="27"/>
      <c r="F45" s="27"/>
      <c r="G45" s="27"/>
      <c r="H45" s="27"/>
      <c r="I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174"/>
      <c r="AE45" s="27"/>
      <c r="AF45" s="27"/>
      <c r="AG45" s="27"/>
      <c r="AH45" s="27"/>
      <c r="AI45" s="27"/>
      <c r="AJ45" s="27"/>
      <c r="AK45" s="27"/>
      <c r="AM45" s="27"/>
      <c r="AN45" s="27"/>
      <c r="AO45" s="27"/>
      <c r="AP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 t="s">
        <v>38</v>
      </c>
      <c r="BC45" s="163">
        <v>0.1</v>
      </c>
      <c r="BD45" s="27"/>
      <c r="BE45" s="27"/>
      <c r="BF45" s="27"/>
      <c r="BG45" s="27"/>
      <c r="BH45" s="27"/>
      <c r="BI45" s="27"/>
      <c r="BO45" s="27"/>
      <c r="BP45" s="27"/>
      <c r="BQ45" s="27"/>
      <c r="BR45" s="27"/>
      <c r="BS45" s="27"/>
      <c r="BT45" s="27"/>
      <c r="BU45" s="27"/>
      <c r="CJ45" s="174"/>
      <c r="CK45" s="174"/>
    </row>
    <row r="46" spans="1:89" s="22" customFormat="1">
      <c r="A46" s="24"/>
      <c r="B46" s="27"/>
      <c r="C46" s="27"/>
      <c r="D46" s="27"/>
      <c r="E46" s="27"/>
      <c r="F46" s="27"/>
      <c r="G46" s="27"/>
      <c r="H46" s="27"/>
      <c r="I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174"/>
      <c r="AE46" s="27"/>
      <c r="AF46" s="27"/>
      <c r="AG46" s="27"/>
      <c r="AH46" s="27"/>
      <c r="AI46" s="27"/>
      <c r="AJ46" s="27"/>
      <c r="AK46" s="27"/>
      <c r="AM46" s="27"/>
      <c r="AN46" s="27"/>
      <c r="AO46" s="27"/>
      <c r="AP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 t="s">
        <v>39</v>
      </c>
      <c r="BC46" s="163"/>
      <c r="BD46" s="27"/>
      <c r="BE46" s="27"/>
      <c r="BF46" s="27"/>
      <c r="BG46" s="27"/>
      <c r="BI46" s="27"/>
      <c r="BS46" s="27"/>
      <c r="BT46" s="27"/>
      <c r="BU46" s="27"/>
      <c r="CJ46" s="174"/>
      <c r="CK46" s="174"/>
    </row>
    <row r="47" spans="1:89" s="22" customFormat="1">
      <c r="A47" s="24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 t="s">
        <v>40</v>
      </c>
      <c r="BC47" s="163">
        <v>0.02</v>
      </c>
      <c r="BD47" s="27"/>
      <c r="BE47" s="27"/>
      <c r="BF47" s="27"/>
      <c r="BG47" s="27"/>
      <c r="BS47" s="27"/>
      <c r="BT47" s="27"/>
      <c r="BU47" s="27"/>
      <c r="CJ47" s="174"/>
      <c r="CK47" s="174"/>
    </row>
    <row r="48" spans="1:89" s="22" customFormat="1">
      <c r="A48" s="24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 t="s">
        <v>41</v>
      </c>
      <c r="BC48" s="163"/>
      <c r="BD48" s="27"/>
      <c r="BE48" s="27"/>
      <c r="BF48" s="27"/>
      <c r="BG48" s="27"/>
      <c r="BS48" s="27"/>
      <c r="BT48" s="27"/>
      <c r="BU48" s="27"/>
      <c r="CJ48" s="174"/>
      <c r="CK48" s="174"/>
    </row>
    <row r="49" spans="12:128" s="22" customFormat="1">
      <c r="AW49" s="27"/>
      <c r="AX49" s="27"/>
      <c r="AY49" s="27"/>
      <c r="AZ49" s="27"/>
      <c r="BA49" s="27"/>
      <c r="BB49" s="27" t="s">
        <v>42</v>
      </c>
      <c r="BC49" s="163">
        <v>0.09</v>
      </c>
      <c r="BD49" s="27"/>
      <c r="BE49" s="27"/>
      <c r="BF49" s="27"/>
      <c r="BG49" s="27"/>
      <c r="BI49" s="27"/>
      <c r="BJ49" s="27"/>
      <c r="BK49" s="27"/>
      <c r="BL49" s="27"/>
      <c r="BM49" s="27"/>
      <c r="BN49" s="27"/>
      <c r="BS49" s="27"/>
      <c r="BT49" s="27"/>
      <c r="BU49" s="27"/>
      <c r="CJ49" s="174"/>
      <c r="CK49" s="174"/>
    </row>
    <row r="50" spans="12:128" s="22" customFormat="1" hidden="1">
      <c r="L50" s="27"/>
      <c r="M50" s="27"/>
      <c r="N50" s="27"/>
      <c r="O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D50" s="27"/>
      <c r="BE50" s="27"/>
      <c r="BF50" s="27"/>
      <c r="BG50" s="27"/>
      <c r="BI50" s="22" t="s">
        <v>159</v>
      </c>
      <c r="BJ50" s="22" t="e">
        <f>+#REF!</f>
        <v>#REF!</v>
      </c>
      <c r="BN50" s="27"/>
      <c r="BS50" s="27"/>
      <c r="BT50" s="27"/>
      <c r="BU50" s="27"/>
      <c r="CJ50" s="174"/>
      <c r="CK50" s="174"/>
    </row>
    <row r="51" spans="12:128" s="22" customFormat="1">
      <c r="L51" s="27"/>
      <c r="M51" s="27"/>
      <c r="N51" s="27"/>
      <c r="O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 t="s">
        <v>43</v>
      </c>
      <c r="BC51" s="163"/>
      <c r="BD51" s="27"/>
      <c r="BE51" s="27"/>
      <c r="BF51" s="27"/>
      <c r="BG51" s="27"/>
      <c r="BI51" s="54"/>
      <c r="BJ51" s="54"/>
      <c r="BK51" s="54"/>
      <c r="BL51" s="54"/>
      <c r="BM51" s="54"/>
      <c r="BN51" s="54"/>
      <c r="BS51" s="27"/>
      <c r="BT51" s="27"/>
      <c r="BU51" s="27"/>
      <c r="CJ51" s="174"/>
      <c r="CK51" s="174"/>
    </row>
    <row r="52" spans="12:128" s="22" customFormat="1">
      <c r="L52" s="27"/>
      <c r="M52" s="27"/>
      <c r="N52" s="27"/>
      <c r="O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 t="s">
        <v>191</v>
      </c>
      <c r="BC52" s="163"/>
      <c r="BD52" s="27"/>
      <c r="BE52" s="27"/>
      <c r="BF52" s="27"/>
      <c r="BG52" s="27"/>
      <c r="BI52" s="54"/>
      <c r="BJ52" s="54"/>
      <c r="BK52" s="54"/>
      <c r="BL52" s="54"/>
      <c r="BM52" s="54"/>
      <c r="BN52" s="54"/>
      <c r="BS52" s="27"/>
      <c r="BT52" s="27"/>
      <c r="BU52" s="27"/>
      <c r="CJ52" s="174"/>
      <c r="CK52" s="174"/>
    </row>
    <row r="53" spans="12:128" s="22" customFormat="1">
      <c r="L53" s="27"/>
      <c r="M53" s="27"/>
      <c r="N53" s="27"/>
      <c r="O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500" t="s">
        <v>174</v>
      </c>
      <c r="BC53" s="502">
        <v>7.4999999999999997E-2</v>
      </c>
      <c r="BD53" s="27"/>
      <c r="BE53" s="27"/>
      <c r="BF53" s="27"/>
      <c r="BG53" s="27"/>
      <c r="BI53" s="54"/>
      <c r="BJ53" s="54"/>
      <c r="BK53" s="54"/>
      <c r="BL53" s="54"/>
      <c r="BM53" s="54"/>
      <c r="BN53" s="54"/>
      <c r="BS53" s="27"/>
      <c r="BT53" s="27"/>
      <c r="BU53" s="27"/>
      <c r="CJ53" s="174"/>
      <c r="CK53" s="174"/>
      <c r="CL53" s="27"/>
    </row>
    <row r="54" spans="12:128" s="22" customFormat="1">
      <c r="L54" s="27"/>
      <c r="M54" s="27"/>
      <c r="N54" s="27"/>
      <c r="O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500" t="s">
        <v>376</v>
      </c>
      <c r="BC54" s="501">
        <v>0.18</v>
      </c>
      <c r="BD54" s="27"/>
      <c r="BE54" s="27"/>
      <c r="BF54" s="27"/>
      <c r="BG54" s="27"/>
      <c r="BI54" s="54"/>
      <c r="BJ54" s="54"/>
      <c r="BK54" s="54"/>
      <c r="BL54" s="54"/>
      <c r="BM54" s="54"/>
      <c r="BN54" s="54"/>
      <c r="BS54" s="27"/>
      <c r="BT54" s="27"/>
      <c r="BU54" s="27"/>
      <c r="CJ54" s="174"/>
      <c r="CK54" s="174"/>
      <c r="CL54" s="27"/>
    </row>
    <row r="55" spans="12:128" s="22" customFormat="1" ht="15.9" customHeight="1">
      <c r="L55" s="27"/>
      <c r="M55" s="27"/>
      <c r="N55" s="27"/>
      <c r="O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500" t="s">
        <v>378</v>
      </c>
      <c r="BC55" s="501">
        <v>0.18</v>
      </c>
      <c r="BD55" s="27"/>
      <c r="BE55" s="27"/>
      <c r="BF55" s="27"/>
      <c r="BG55" s="27"/>
      <c r="BI55" s="54"/>
      <c r="BJ55" s="54"/>
      <c r="BK55" s="54"/>
      <c r="BL55" s="54"/>
      <c r="BM55" s="54"/>
      <c r="BN55" s="54"/>
      <c r="BS55" s="27"/>
      <c r="BT55" s="27"/>
      <c r="BU55" s="27"/>
      <c r="DC55" s="174"/>
      <c r="DH55" s="27"/>
      <c r="DJ55" s="176">
        <v>6</v>
      </c>
      <c r="DK55" s="22" t="s">
        <v>158</v>
      </c>
      <c r="DN55" s="22">
        <v>14</v>
      </c>
      <c r="DP55" s="176">
        <v>11</v>
      </c>
      <c r="DS55" s="22" t="e">
        <f>#REF!</f>
        <v>#REF!</v>
      </c>
      <c r="DT55" s="22" t="e">
        <f t="shared" ref="DT55:DT61" si="1">DS55+DR55-DQ55</f>
        <v>#REF!</v>
      </c>
      <c r="DV55" s="177" t="s">
        <v>155</v>
      </c>
      <c r="DW55" s="168" t="s">
        <v>147</v>
      </c>
      <c r="DX55" s="171" t="e">
        <f>#REF!</f>
        <v>#REF!</v>
      </c>
    </row>
    <row r="56" spans="12:128" s="22" customFormat="1" ht="17.100000000000001" customHeight="1">
      <c r="L56" s="27"/>
      <c r="M56" s="27"/>
      <c r="N56" s="27"/>
      <c r="O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500" t="s">
        <v>377</v>
      </c>
      <c r="BC56" s="501">
        <v>0.18</v>
      </c>
      <c r="BD56" s="27"/>
      <c r="BE56" s="456"/>
      <c r="BF56" s="27"/>
      <c r="BG56" s="27"/>
      <c r="BI56" s="54"/>
      <c r="BJ56" s="54"/>
      <c r="BK56" s="54"/>
      <c r="BL56" s="54"/>
      <c r="BM56" s="54"/>
      <c r="BN56" s="54"/>
      <c r="BS56" s="27"/>
      <c r="BT56" s="27"/>
      <c r="BU56" s="27"/>
      <c r="DC56" s="174"/>
      <c r="DH56" s="27"/>
      <c r="DJ56" s="176" t="s">
        <v>81</v>
      </c>
      <c r="DK56" s="22" t="s">
        <v>148</v>
      </c>
      <c r="DM56" s="22" t="s">
        <v>150</v>
      </c>
      <c r="DP56" s="176">
        <v>12</v>
      </c>
      <c r="DS56" s="22" t="e">
        <f>#REF!</f>
        <v>#REF!</v>
      </c>
      <c r="DT56" s="22" t="e">
        <f t="shared" si="1"/>
        <v>#REF!</v>
      </c>
    </row>
    <row r="57" spans="12:128" s="22" customFormat="1">
      <c r="L57" s="27"/>
      <c r="M57" s="27"/>
      <c r="N57" s="27"/>
      <c r="O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500" t="s">
        <v>379</v>
      </c>
      <c r="BC57" s="501">
        <v>0.18</v>
      </c>
      <c r="BD57" s="27"/>
      <c r="BE57" s="27"/>
      <c r="BF57" s="27"/>
      <c r="BG57" s="27"/>
      <c r="BI57" s="54"/>
      <c r="BJ57" s="54"/>
      <c r="BK57" s="54"/>
      <c r="BL57" s="54"/>
      <c r="BM57" s="54"/>
      <c r="BN57" s="54"/>
      <c r="BS57" s="27"/>
      <c r="BT57" s="27"/>
      <c r="BU57" s="27"/>
      <c r="DC57" s="174"/>
      <c r="DD57" s="174"/>
      <c r="DE57" s="174"/>
      <c r="DF57" s="27"/>
      <c r="DG57" s="27"/>
      <c r="DH57" s="27"/>
      <c r="DJ57" s="176">
        <v>1</v>
      </c>
      <c r="DK57" s="22" t="s">
        <v>152</v>
      </c>
      <c r="DM57" s="22" t="s">
        <v>151</v>
      </c>
      <c r="DN57" s="176">
        <f>30*0.7*6*0.7*3*365</f>
        <v>96578.999999999985</v>
      </c>
      <c r="DP57" s="176">
        <v>13</v>
      </c>
      <c r="DS57" s="22" t="e">
        <f>#REF!</f>
        <v>#REF!</v>
      </c>
      <c r="DT57" s="22" t="e">
        <f t="shared" si="1"/>
        <v>#REF!</v>
      </c>
      <c r="DV57" s="177" t="s">
        <v>156</v>
      </c>
      <c r="DW57" s="177" t="s">
        <v>157</v>
      </c>
      <c r="DX57" s="177" t="e">
        <f>#REF!</f>
        <v>#REF!</v>
      </c>
    </row>
    <row r="58" spans="12:128" s="22" customFormat="1">
      <c r="L58" s="27"/>
      <c r="M58" s="27"/>
      <c r="N58" s="27"/>
      <c r="O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500" t="s">
        <v>380</v>
      </c>
      <c r="BC58" s="501">
        <v>0.18</v>
      </c>
      <c r="BD58" s="27"/>
      <c r="BE58" s="27"/>
      <c r="BF58" s="27"/>
      <c r="BG58" s="27"/>
      <c r="BH58" s="27"/>
      <c r="BI58" s="54"/>
      <c r="BJ58" s="54"/>
      <c r="BK58" s="54"/>
      <c r="BL58" s="54"/>
      <c r="BM58" s="54"/>
      <c r="BN58" s="54"/>
      <c r="BO58" s="27"/>
      <c r="BP58" s="27"/>
      <c r="BQ58" s="27"/>
      <c r="BR58" s="27"/>
      <c r="BS58" s="27"/>
      <c r="BT58" s="27"/>
      <c r="BU58" s="27"/>
      <c r="DC58" s="174"/>
      <c r="DD58" s="174"/>
      <c r="DE58" s="174"/>
      <c r="DF58" s="27"/>
      <c r="DG58" s="27"/>
      <c r="DH58" s="27"/>
      <c r="DJ58" s="176">
        <v>2</v>
      </c>
      <c r="DK58" s="22" t="s">
        <v>153</v>
      </c>
      <c r="DM58" s="22" t="s">
        <v>154</v>
      </c>
      <c r="DN58" s="22">
        <f>DN57*3.17/10^5</f>
        <v>3.0615542999999992</v>
      </c>
      <c r="DP58" s="176">
        <v>14</v>
      </c>
      <c r="DS58" s="22" t="e">
        <f>#REF!</f>
        <v>#REF!</v>
      </c>
      <c r="DT58" s="22" t="e">
        <f t="shared" si="1"/>
        <v>#REF!</v>
      </c>
    </row>
    <row r="59" spans="12:128" s="22" customFormat="1">
      <c r="L59" s="27"/>
      <c r="M59" s="27"/>
      <c r="N59" s="27"/>
      <c r="O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 t="s">
        <v>45</v>
      </c>
      <c r="BC59" s="171">
        <f>0.1/(1-0.1)</f>
        <v>0.11111111111111112</v>
      </c>
      <c r="BD59" s="27"/>
      <c r="BE59" s="27"/>
      <c r="BF59" s="27"/>
      <c r="BG59" s="27"/>
      <c r="BH59" s="27"/>
      <c r="BI59" s="54"/>
      <c r="BJ59" s="54"/>
      <c r="BK59" s="54"/>
      <c r="BL59" s="54"/>
      <c r="BM59" s="54"/>
      <c r="BN59" s="54"/>
      <c r="BO59" s="27"/>
      <c r="BP59" s="27"/>
      <c r="BQ59" s="27"/>
      <c r="BR59" s="27"/>
      <c r="BS59" s="27"/>
      <c r="BT59" s="27"/>
      <c r="BU59" s="27"/>
      <c r="DC59" s="174"/>
      <c r="DD59" s="174"/>
      <c r="DE59" s="174"/>
      <c r="DF59" s="174"/>
      <c r="DG59" s="174"/>
      <c r="DH59" s="174"/>
      <c r="DJ59" s="176">
        <v>3</v>
      </c>
      <c r="DK59" s="22" t="s">
        <v>145</v>
      </c>
      <c r="DM59" s="22" t="s">
        <v>154</v>
      </c>
      <c r="DN59" s="22" t="e">
        <f>0.02*#REF!</f>
        <v>#REF!</v>
      </c>
      <c r="DP59" s="176">
        <v>15</v>
      </c>
      <c r="DS59" s="22" t="e">
        <f>#REF!</f>
        <v>#REF!</v>
      </c>
      <c r="DT59" s="22" t="e">
        <f t="shared" si="1"/>
        <v>#REF!</v>
      </c>
      <c r="DV59" s="177"/>
      <c r="DW59" s="177"/>
      <c r="DX59" s="177"/>
    </row>
    <row r="60" spans="12:128" s="22" customFormat="1">
      <c r="L60" s="27"/>
      <c r="M60" s="27"/>
      <c r="N60" s="27"/>
      <c r="O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163"/>
      <c r="BD60" s="27"/>
      <c r="BE60" s="27"/>
      <c r="BF60" s="27"/>
      <c r="BG60" s="27"/>
      <c r="BH60" s="27"/>
      <c r="BI60" s="54"/>
      <c r="BJ60" s="54"/>
      <c r="BK60" s="54"/>
      <c r="BL60" s="54"/>
      <c r="BM60" s="54"/>
      <c r="BN60" s="54"/>
      <c r="BO60" s="27"/>
      <c r="BP60" s="27"/>
      <c r="BQ60" s="27"/>
      <c r="BR60" s="27"/>
      <c r="BS60" s="27"/>
      <c r="BT60" s="27"/>
      <c r="BU60" s="27"/>
      <c r="DC60" s="174"/>
      <c r="DD60" s="174"/>
      <c r="DE60" s="174"/>
      <c r="DF60" s="174"/>
      <c r="DG60" s="174"/>
      <c r="DH60" s="174"/>
      <c r="DJ60" s="176"/>
      <c r="DK60" s="22" t="s">
        <v>149</v>
      </c>
      <c r="DM60" s="22" t="s">
        <v>154</v>
      </c>
      <c r="DN60" s="22" t="e">
        <f>SUM(DN58:DN59)</f>
        <v>#REF!</v>
      </c>
      <c r="DP60" s="176">
        <v>16</v>
      </c>
      <c r="DS60" s="22" t="e">
        <f>#REF!</f>
        <v>#REF!</v>
      </c>
      <c r="DT60" s="22" t="e">
        <f t="shared" si="1"/>
        <v>#REF!</v>
      </c>
    </row>
    <row r="61" spans="12:128" s="22" customFormat="1">
      <c r="L61" s="27"/>
      <c r="M61" s="27"/>
      <c r="N61" s="27"/>
      <c r="O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 t="s">
        <v>385</v>
      </c>
      <c r="BC61" s="163">
        <v>0.1</v>
      </c>
      <c r="BE61" s="27"/>
      <c r="BF61" s="27"/>
      <c r="BG61" s="27"/>
      <c r="BH61" s="27"/>
      <c r="BI61" s="54"/>
      <c r="BJ61" s="54"/>
      <c r="BK61" s="54"/>
      <c r="BL61" s="54"/>
      <c r="BM61" s="54"/>
      <c r="BN61" s="54"/>
      <c r="BO61" s="27"/>
      <c r="BP61" s="27"/>
      <c r="BQ61" s="27"/>
      <c r="BR61" s="27"/>
      <c r="BS61" s="27"/>
      <c r="BT61" s="27"/>
      <c r="BU61" s="27"/>
      <c r="DC61" s="174"/>
      <c r="DD61" s="174"/>
      <c r="DE61" s="174"/>
      <c r="DF61" s="174"/>
      <c r="DG61" s="174"/>
      <c r="DH61" s="174"/>
      <c r="DP61" s="176">
        <v>17</v>
      </c>
      <c r="DS61" s="22" t="e">
        <f>#REF!</f>
        <v>#REF!</v>
      </c>
      <c r="DT61" s="22" t="e">
        <f t="shared" si="1"/>
        <v>#REF!</v>
      </c>
    </row>
    <row r="62" spans="12:128" s="22" customFormat="1">
      <c r="L62" s="27"/>
      <c r="M62" s="27"/>
      <c r="N62" s="27"/>
      <c r="O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 t="s">
        <v>386</v>
      </c>
      <c r="BC62" s="163">
        <v>0.04</v>
      </c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CY62" s="178"/>
      <c r="DB62" s="174"/>
      <c r="DC62" s="174"/>
      <c r="DD62" s="174"/>
      <c r="DE62" s="174"/>
      <c r="DF62" s="174"/>
      <c r="DG62" s="174"/>
      <c r="DH62" s="174"/>
    </row>
    <row r="63" spans="12:128" s="22" customFormat="1">
      <c r="L63" s="27"/>
      <c r="M63" s="27"/>
      <c r="N63" s="27"/>
      <c r="O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 t="s">
        <v>46</v>
      </c>
      <c r="BC63" s="167">
        <v>0.05</v>
      </c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CY63" s="178"/>
    </row>
    <row r="64" spans="12:128" s="22" customFormat="1" ht="15.6">
      <c r="L64" s="27"/>
      <c r="M64" s="27"/>
      <c r="N64" s="27"/>
      <c r="O64" s="27"/>
      <c r="R64" s="27"/>
      <c r="S64" s="27"/>
      <c r="T64" s="27"/>
      <c r="U64" s="27"/>
      <c r="V64" s="27"/>
      <c r="W64" s="51" t="s">
        <v>187</v>
      </c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CJ64" s="27"/>
      <c r="CK64" s="27"/>
      <c r="CY64" s="178"/>
    </row>
    <row r="65" spans="1:103" s="22" customFormat="1" ht="17.399999999999999">
      <c r="A65" s="757" t="s">
        <v>1</v>
      </c>
      <c r="B65" s="757"/>
      <c r="C65" s="757"/>
      <c r="D65" s="757"/>
      <c r="E65" s="757"/>
      <c r="F65" s="757"/>
      <c r="G65" s="757"/>
      <c r="H65" s="757"/>
      <c r="I65" s="757"/>
      <c r="J65" s="757"/>
      <c r="K65" s="757"/>
      <c r="L65" s="757"/>
      <c r="M65" s="757"/>
      <c r="N65" s="757"/>
      <c r="O65" s="757"/>
      <c r="P65" s="757"/>
      <c r="Q65" s="757"/>
      <c r="R65" s="757"/>
      <c r="S65" s="757"/>
      <c r="T65" s="757"/>
      <c r="U65" s="757"/>
      <c r="V65" s="757"/>
      <c r="W65" s="51" t="str">
        <f>$O$4</f>
        <v>Base date: 4th Qtr 2020</v>
      </c>
      <c r="Y65" s="160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CJ65" s="27"/>
      <c r="CK65" s="27"/>
      <c r="CY65" s="178"/>
    </row>
    <row r="66" spans="1:103" s="22" customFormat="1" ht="17.399999999999999">
      <c r="A66" s="757" t="str">
        <f>E2</f>
        <v>IISCO STEEL PLANT</v>
      </c>
      <c r="B66" s="757"/>
      <c r="C66" s="757"/>
      <c r="D66" s="757"/>
      <c r="E66" s="757"/>
      <c r="F66" s="757"/>
      <c r="G66" s="757"/>
      <c r="H66" s="757"/>
      <c r="I66" s="757"/>
      <c r="J66" s="757"/>
      <c r="K66" s="757"/>
      <c r="L66" s="757"/>
      <c r="M66" s="757"/>
      <c r="N66" s="757"/>
      <c r="O66" s="757"/>
      <c r="P66" s="757"/>
      <c r="Q66" s="757"/>
      <c r="R66" s="757"/>
      <c r="S66" s="757"/>
      <c r="T66" s="757"/>
      <c r="U66" s="757"/>
      <c r="V66" s="757"/>
      <c r="W66" s="51" t="str">
        <f>$O$6</f>
        <v>Figures in Rs. Crore</v>
      </c>
      <c r="Y66" s="160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27"/>
      <c r="AY66" s="27"/>
      <c r="AZ66" s="27"/>
      <c r="BA66" s="27"/>
      <c r="BB66" s="27"/>
      <c r="BC66" s="163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CJ66" s="27"/>
      <c r="CK66" s="27"/>
      <c r="CY66" s="178"/>
    </row>
    <row r="67" spans="1:103" s="22" customFormat="1" ht="17.399999999999999">
      <c r="A67" s="757" t="str">
        <f>$E$3</f>
        <v>INSTALLATION OF FLARE STACK FOR COB-10, ISP</v>
      </c>
      <c r="B67" s="757"/>
      <c r="C67" s="757"/>
      <c r="D67" s="757"/>
      <c r="E67" s="757"/>
      <c r="F67" s="757"/>
      <c r="G67" s="757"/>
      <c r="H67" s="757"/>
      <c r="I67" s="757"/>
      <c r="J67" s="757"/>
      <c r="K67" s="757"/>
      <c r="L67" s="757"/>
      <c r="M67" s="757"/>
      <c r="N67" s="757"/>
      <c r="O67" s="757"/>
      <c r="P67" s="757"/>
      <c r="Q67" s="757"/>
      <c r="R67" s="757"/>
      <c r="S67" s="757"/>
      <c r="T67" s="757"/>
      <c r="U67" s="757"/>
      <c r="V67" s="757"/>
      <c r="W67" s="160"/>
      <c r="X67" s="179"/>
      <c r="Y67" s="160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27"/>
      <c r="AY67" s="27"/>
      <c r="AZ67" s="27"/>
      <c r="BA67" s="27"/>
      <c r="BB67" s="27"/>
      <c r="BC67" s="163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CJ67" s="27"/>
      <c r="CK67" s="27"/>
      <c r="CY67" s="178"/>
    </row>
    <row r="68" spans="1:103" s="22" customFormat="1">
      <c r="F68" s="27" t="s">
        <v>0</v>
      </c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X68" s="27"/>
      <c r="Y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163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CJ68" s="27"/>
      <c r="CK68" s="27"/>
      <c r="CY68" s="178"/>
    </row>
    <row r="69" spans="1:103" s="22" customFormat="1" ht="15" customHeight="1">
      <c r="A69" s="763" t="s">
        <v>170</v>
      </c>
      <c r="B69" s="763"/>
      <c r="C69" s="763"/>
      <c r="D69" s="763"/>
      <c r="E69" s="763"/>
      <c r="F69" s="763"/>
      <c r="G69" s="763"/>
      <c r="H69" s="763"/>
      <c r="I69" s="763"/>
      <c r="J69" s="763"/>
      <c r="K69" s="763"/>
      <c r="L69" s="763"/>
      <c r="M69" s="763"/>
      <c r="N69" s="763"/>
      <c r="O69" s="763"/>
      <c r="P69" s="763"/>
      <c r="Q69" s="763"/>
      <c r="R69" s="763"/>
      <c r="S69" s="763"/>
      <c r="T69" s="763"/>
      <c r="U69" s="763"/>
      <c r="V69" s="763"/>
      <c r="Y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163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CJ69" s="27"/>
      <c r="CK69" s="27"/>
      <c r="CY69" s="178"/>
    </row>
    <row r="70" spans="1:103" s="22" customFormat="1"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X70" s="27" t="s">
        <v>0</v>
      </c>
      <c r="Y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CJ70" s="27"/>
      <c r="CK70" s="27"/>
      <c r="CY70" s="178"/>
    </row>
    <row r="71" spans="1:103" s="22" customFormat="1" ht="24" customHeight="1">
      <c r="B71" s="27"/>
      <c r="C71" s="142" t="str">
        <f>C10</f>
        <v>1USD=Rs.(with forward premium rate)</v>
      </c>
      <c r="D71" s="505">
        <f>D10</f>
        <v>68.096249999999998</v>
      </c>
      <c r="I71" s="464" t="str">
        <f t="shared" ref="I71:N72" si="2">C8</f>
        <v>CD</v>
      </c>
      <c r="J71" s="464">
        <f t="shared" si="2"/>
        <v>0</v>
      </c>
      <c r="K71" s="464">
        <f t="shared" si="2"/>
        <v>0</v>
      </c>
      <c r="L71" s="464" t="str">
        <f t="shared" si="2"/>
        <v>IT</v>
      </c>
      <c r="M71" s="464">
        <f t="shared" si="2"/>
        <v>0</v>
      </c>
      <c r="N71" s="464">
        <f t="shared" si="2"/>
        <v>0</v>
      </c>
      <c r="O71" s="761" t="str">
        <f>J8</f>
        <v>GST (Supply &amp; services)</v>
      </c>
      <c r="P71" s="761"/>
      <c r="Q71" s="504"/>
      <c r="R71" s="504" t="str">
        <f>L8</f>
        <v>Contingn</v>
      </c>
      <c r="S71" s="504" t="str">
        <f>I8</f>
        <v>E&amp;C</v>
      </c>
      <c r="T71" s="27"/>
      <c r="U71" s="27"/>
      <c r="X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CJ71" s="27"/>
      <c r="CK71" s="27"/>
      <c r="CY71" s="178"/>
    </row>
    <row r="72" spans="1:103" s="22" customFormat="1" ht="15.6">
      <c r="B72" s="51"/>
      <c r="C72" s="142" t="str">
        <f>C11</f>
        <v>1EURO=Rs.(with forward premium rate)</v>
      </c>
      <c r="D72" s="505">
        <f>D11</f>
        <v>74.878282187500005</v>
      </c>
      <c r="E72" s="180"/>
      <c r="F72" s="146"/>
      <c r="G72" s="170"/>
      <c r="I72" s="139">
        <f t="shared" si="2"/>
        <v>7.4999999999999997E-2</v>
      </c>
      <c r="J72" s="139">
        <f t="shared" si="2"/>
        <v>0</v>
      </c>
      <c r="K72" s="141">
        <f t="shared" si="2"/>
        <v>0</v>
      </c>
      <c r="L72" s="140">
        <f t="shared" si="2"/>
        <v>0.11111111111111112</v>
      </c>
      <c r="M72" s="140">
        <f t="shared" si="2"/>
        <v>0</v>
      </c>
      <c r="N72" s="141">
        <f t="shared" si="2"/>
        <v>0</v>
      </c>
      <c r="O72" s="762">
        <f>J9</f>
        <v>0.18</v>
      </c>
      <c r="P72" s="762"/>
      <c r="Q72" s="141"/>
      <c r="R72" s="141">
        <f>L9</f>
        <v>0.05</v>
      </c>
      <c r="S72" s="140">
        <f>I9</f>
        <v>0.11000000000000001</v>
      </c>
      <c r="T72" s="27"/>
      <c r="U72" s="27"/>
      <c r="X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CJ72" s="27"/>
      <c r="CK72" s="27"/>
      <c r="CY72" s="178"/>
    </row>
    <row r="73" spans="1:103" s="22" customFormat="1" ht="15.6">
      <c r="A73" s="5" t="s">
        <v>80</v>
      </c>
      <c r="B73" s="5" t="s">
        <v>82</v>
      </c>
      <c r="C73" s="756" t="s">
        <v>28</v>
      </c>
      <c r="D73" s="756"/>
      <c r="E73" s="756" t="s">
        <v>83</v>
      </c>
      <c r="F73" s="756"/>
      <c r="G73" s="756" t="s">
        <v>138</v>
      </c>
      <c r="H73" s="756"/>
      <c r="I73" s="756" t="s">
        <v>86</v>
      </c>
      <c r="J73" s="756"/>
      <c r="K73" s="197" t="s">
        <v>87</v>
      </c>
      <c r="L73" s="197" t="s">
        <v>88</v>
      </c>
      <c r="M73" s="756" t="s">
        <v>139</v>
      </c>
      <c r="N73" s="756"/>
      <c r="O73" s="756" t="s">
        <v>140</v>
      </c>
      <c r="P73" s="756"/>
      <c r="Q73" s="756" t="s">
        <v>141</v>
      </c>
      <c r="R73" s="756"/>
      <c r="S73" s="461" t="s">
        <v>94</v>
      </c>
      <c r="T73" s="461"/>
      <c r="U73" s="461" t="s">
        <v>95</v>
      </c>
      <c r="V73" s="461"/>
      <c r="W73" s="461" t="s">
        <v>71</v>
      </c>
      <c r="X73" s="462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CJ73" s="27"/>
      <c r="CK73" s="27"/>
      <c r="CY73" s="178"/>
    </row>
    <row r="74" spans="1:103" s="22" customFormat="1" ht="15.6">
      <c r="A74" s="57"/>
      <c r="B74" s="471"/>
      <c r="C74" s="463" t="s">
        <v>5</v>
      </c>
      <c r="D74" s="463" t="s">
        <v>142</v>
      </c>
      <c r="E74" s="463" t="s">
        <v>5</v>
      </c>
      <c r="F74" s="463" t="s">
        <v>142</v>
      </c>
      <c r="G74" s="463" t="s">
        <v>5</v>
      </c>
      <c r="H74" s="463" t="s">
        <v>142</v>
      </c>
      <c r="I74" s="463" t="s">
        <v>5</v>
      </c>
      <c r="J74" s="463" t="s">
        <v>142</v>
      </c>
      <c r="K74" s="463" t="s">
        <v>5</v>
      </c>
      <c r="L74" s="463" t="s">
        <v>5</v>
      </c>
      <c r="M74" s="463" t="s">
        <v>5</v>
      </c>
      <c r="N74" s="463" t="s">
        <v>142</v>
      </c>
      <c r="O74" s="463" t="s">
        <v>5</v>
      </c>
      <c r="P74" s="463" t="s">
        <v>142</v>
      </c>
      <c r="Q74" s="463" t="s">
        <v>5</v>
      </c>
      <c r="R74" s="463" t="s">
        <v>142</v>
      </c>
      <c r="S74" s="463" t="s">
        <v>5</v>
      </c>
      <c r="T74" s="463" t="s">
        <v>142</v>
      </c>
      <c r="U74" s="463" t="s">
        <v>5</v>
      </c>
      <c r="V74" s="463" t="s">
        <v>142</v>
      </c>
      <c r="W74" s="463" t="s">
        <v>5</v>
      </c>
      <c r="X74" s="473" t="s">
        <v>142</v>
      </c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CY74" s="178"/>
    </row>
    <row r="75" spans="1:103" s="22" customFormat="1" ht="15.6">
      <c r="A75" s="57"/>
      <c r="B75" s="57"/>
      <c r="C75" s="461" t="s">
        <v>143</v>
      </c>
      <c r="D75" s="461" t="s">
        <v>25</v>
      </c>
      <c r="E75" s="461" t="s">
        <v>143</v>
      </c>
      <c r="F75" s="461" t="s">
        <v>25</v>
      </c>
      <c r="G75" s="461" t="s">
        <v>143</v>
      </c>
      <c r="H75" s="461" t="s">
        <v>25</v>
      </c>
      <c r="I75" s="461" t="s">
        <v>143</v>
      </c>
      <c r="J75" s="461" t="s">
        <v>25</v>
      </c>
      <c r="K75" s="461" t="s">
        <v>143</v>
      </c>
      <c r="L75" s="461" t="s">
        <v>143</v>
      </c>
      <c r="M75" s="461" t="s">
        <v>143</v>
      </c>
      <c r="N75" s="461" t="s">
        <v>25</v>
      </c>
      <c r="O75" s="461" t="s">
        <v>143</v>
      </c>
      <c r="P75" s="461" t="s">
        <v>25</v>
      </c>
      <c r="Q75" s="461" t="s">
        <v>143</v>
      </c>
      <c r="R75" s="461" t="s">
        <v>25</v>
      </c>
      <c r="S75" s="461" t="s">
        <v>143</v>
      </c>
      <c r="T75" s="461" t="s">
        <v>25</v>
      </c>
      <c r="U75" s="461" t="s">
        <v>143</v>
      </c>
      <c r="V75" s="461" t="s">
        <v>25</v>
      </c>
      <c r="W75" s="461" t="s">
        <v>143</v>
      </c>
      <c r="X75" s="462" t="s">
        <v>25</v>
      </c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CY75" s="178"/>
    </row>
    <row r="76" spans="1:103" s="22" customFormat="1" ht="15.6">
      <c r="A76" s="57" t="s">
        <v>160</v>
      </c>
      <c r="B76" s="472" t="s">
        <v>49</v>
      </c>
      <c r="C76" s="463" t="s">
        <v>50</v>
      </c>
      <c r="D76" s="463" t="s">
        <v>51</v>
      </c>
      <c r="E76" s="463" t="s">
        <v>52</v>
      </c>
      <c r="F76" s="463" t="s">
        <v>25</v>
      </c>
      <c r="G76" s="463" t="s">
        <v>54</v>
      </c>
      <c r="H76" s="463" t="s">
        <v>55</v>
      </c>
      <c r="I76" s="463" t="s">
        <v>144</v>
      </c>
      <c r="J76" s="463" t="s">
        <v>56</v>
      </c>
      <c r="K76" s="463" t="s">
        <v>57</v>
      </c>
      <c r="L76" s="463" t="s">
        <v>58</v>
      </c>
      <c r="M76" s="463" t="s">
        <v>47</v>
      </c>
      <c r="N76" s="463" t="s">
        <v>59</v>
      </c>
      <c r="O76" s="463" t="s">
        <v>60</v>
      </c>
      <c r="P76" s="463" t="s">
        <v>61</v>
      </c>
      <c r="Q76" s="463" t="s">
        <v>62</v>
      </c>
      <c r="R76" s="463" t="s">
        <v>63</v>
      </c>
      <c r="S76" s="463" t="s">
        <v>64</v>
      </c>
      <c r="T76" s="463" t="s">
        <v>30</v>
      </c>
      <c r="U76" s="463" t="s">
        <v>65</v>
      </c>
      <c r="V76" s="463" t="s">
        <v>66</v>
      </c>
      <c r="W76" s="463" t="s">
        <v>67</v>
      </c>
      <c r="X76" s="473" t="s">
        <v>68</v>
      </c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W76" s="181"/>
      <c r="BX76" s="27"/>
      <c r="BY76" s="27"/>
      <c r="BZ76" s="24"/>
      <c r="CA76" s="24"/>
      <c r="CB76" s="27"/>
      <c r="CC76" s="27"/>
      <c r="CD76" s="27"/>
      <c r="CE76" s="27"/>
      <c r="CY76" s="178"/>
    </row>
    <row r="77" spans="1:103" s="184" customFormat="1" ht="43.5" customHeight="1">
      <c r="A77" s="465" t="str">
        <f t="shared" ref="A77:B81" si="3">A18</f>
        <v>1 (a)</v>
      </c>
      <c r="B77" s="465" t="str">
        <f t="shared" si="3"/>
        <v>Soil investigation &amp; Underground Mapping</v>
      </c>
      <c r="C77" s="240">
        <f>SUM(D18:G18)</f>
        <v>0</v>
      </c>
      <c r="D77" s="240">
        <f>SUM(D18:E18)</f>
        <v>0</v>
      </c>
      <c r="E77" s="240">
        <f>SUM(H18:I18)</f>
        <v>0</v>
      </c>
      <c r="F77" s="240">
        <f>SUM(H18)</f>
        <v>0</v>
      </c>
      <c r="G77" s="240">
        <f>SUM(J18:M18)</f>
        <v>0</v>
      </c>
      <c r="H77" s="241">
        <f>SUM(J18)</f>
        <v>0</v>
      </c>
      <c r="I77" s="240">
        <f>SUM(N18:O18)</f>
        <v>0</v>
      </c>
      <c r="J77" s="240">
        <f>SUM(N18)</f>
        <v>0</v>
      </c>
      <c r="K77" s="240">
        <f>P18+Q18</f>
        <v>4.8000000000000001E-2</v>
      </c>
      <c r="L77" s="240">
        <f>SUM(R18:U18)</f>
        <v>0</v>
      </c>
      <c r="M77" s="240">
        <f>SUM(V18:Y18)</f>
        <v>1.2000000000000001E-3</v>
      </c>
      <c r="N77" s="240">
        <f>SUM(V18:W18)</f>
        <v>0</v>
      </c>
      <c r="O77" s="240">
        <f>SUM(Z18:AB18)</f>
        <v>0</v>
      </c>
      <c r="P77" s="240">
        <f>SUM(Z18)</f>
        <v>0</v>
      </c>
      <c r="Q77" s="240">
        <f>SUM(AC18:AJ18)</f>
        <v>8.6400000000000001E-3</v>
      </c>
      <c r="R77" s="240"/>
      <c r="S77" s="240">
        <f>SUM(AK18:AP18)</f>
        <v>0</v>
      </c>
      <c r="T77" s="240">
        <f>AK18+AM18+AO18</f>
        <v>0</v>
      </c>
      <c r="U77" s="240">
        <f>SUM(AQ18:AR18)</f>
        <v>2.8920000000000005E-3</v>
      </c>
      <c r="V77" s="240">
        <f>AQ18</f>
        <v>0</v>
      </c>
      <c r="W77" s="535">
        <f>AU18</f>
        <v>6.0732000000000001E-2</v>
      </c>
      <c r="X77" s="474">
        <f>D77+F77+H77+J77+N77+P77+R77+T77+V77</f>
        <v>0</v>
      </c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91"/>
      <c r="BE77" s="91"/>
      <c r="BF77" s="91"/>
      <c r="BG77" s="91"/>
      <c r="BH77" s="91"/>
      <c r="BI77" s="91"/>
      <c r="BJ77" s="91"/>
      <c r="BK77" s="91"/>
      <c r="BL77" s="91"/>
      <c r="BM77" s="91"/>
      <c r="BN77" s="91"/>
      <c r="BO77" s="91"/>
      <c r="BP77" s="91"/>
      <c r="BQ77" s="91"/>
      <c r="BR77" s="91"/>
      <c r="BS77" s="91"/>
      <c r="BT77" s="91"/>
      <c r="BU77" s="91"/>
      <c r="BW77" s="185"/>
      <c r="BX77" s="91"/>
      <c r="BY77" s="91"/>
      <c r="BZ77" s="186"/>
      <c r="CA77" s="186"/>
      <c r="CB77" s="91"/>
      <c r="CC77" s="91"/>
      <c r="CD77" s="91"/>
      <c r="CE77" s="91"/>
      <c r="CY77" s="93"/>
    </row>
    <row r="78" spans="1:103" s="22" customFormat="1" ht="38.25" customHeight="1">
      <c r="A78" s="465" t="str">
        <f t="shared" si="3"/>
        <v>1 (b)</v>
      </c>
      <c r="B78" s="465" t="str">
        <f t="shared" si="3"/>
        <v>Main Package (Package - II)</v>
      </c>
      <c r="C78" s="470">
        <f>SUM(D19:G19)</f>
        <v>2.7850670357142859</v>
      </c>
      <c r="D78" s="240">
        <f>SUM(D19:E19)</f>
        <v>0</v>
      </c>
      <c r="E78" s="240">
        <f>SUM(H19:I19)</f>
        <v>0</v>
      </c>
      <c r="F78" s="240">
        <f>SUM(H19)</f>
        <v>0</v>
      </c>
      <c r="G78" s="240">
        <f>SUM(J19:M19)</f>
        <v>0.49875000000000003</v>
      </c>
      <c r="H78" s="241">
        <f>SUM(J19)</f>
        <v>0</v>
      </c>
      <c r="I78" s="240">
        <f>SUM(N19:O19)</f>
        <v>0</v>
      </c>
      <c r="J78" s="240">
        <f>SUM(N19)</f>
        <v>0</v>
      </c>
      <c r="K78" s="240">
        <f>P19+Q19</f>
        <v>0.89805484173913053</v>
      </c>
      <c r="L78" s="240">
        <f>SUM(R19:U19)</f>
        <v>0.43395804428571433</v>
      </c>
      <c r="M78" s="240">
        <f>SUM(V19:Y19)</f>
        <v>0.84618724413043478</v>
      </c>
      <c r="N78" s="535">
        <f>SUM(V19:W19)</f>
        <v>0</v>
      </c>
      <c r="O78" s="240">
        <f>SUM(Z19:AB19)</f>
        <v>0.10058884071428573</v>
      </c>
      <c r="P78" s="240">
        <f>SUM(Z19)</f>
        <v>0</v>
      </c>
      <c r="Q78" s="240">
        <f>SUM(AC19:AJ19)</f>
        <v>0.89049784653726705</v>
      </c>
      <c r="R78" s="240"/>
      <c r="S78" s="240">
        <f>SUM(AK19:AP19)</f>
        <v>0</v>
      </c>
      <c r="T78" s="240">
        <f>AK19+AM19+AO19</f>
        <v>0</v>
      </c>
      <c r="U78" s="240">
        <f>SUM(AQ19:AR19)</f>
        <v>0.32265519265605591</v>
      </c>
      <c r="V78" s="240">
        <f>AQ19</f>
        <v>0</v>
      </c>
      <c r="W78" s="535">
        <f>AU19</f>
        <v>6.775759045777173</v>
      </c>
      <c r="X78" s="474">
        <f>D78+F78+H78+J78+N78+P78+R78+T78+V78</f>
        <v>0</v>
      </c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W78" s="181"/>
      <c r="BX78" s="27"/>
      <c r="BY78" s="27"/>
      <c r="BZ78" s="24"/>
      <c r="CA78" s="24"/>
      <c r="CB78" s="27"/>
      <c r="CC78" s="27"/>
      <c r="CD78" s="27"/>
      <c r="CE78" s="27"/>
      <c r="CY78" s="178"/>
    </row>
    <row r="79" spans="1:103" s="22" customFormat="1" ht="38.25" customHeight="1">
      <c r="A79" s="465" t="str">
        <f t="shared" si="3"/>
        <v>1 (c)</v>
      </c>
      <c r="B79" s="465">
        <f t="shared" si="3"/>
        <v>0</v>
      </c>
      <c r="C79" s="470">
        <f>SUM(D20:G20)</f>
        <v>0</v>
      </c>
      <c r="D79" s="240">
        <f>SUM(D20:E20)</f>
        <v>0</v>
      </c>
      <c r="E79" s="240">
        <f>SUM(H20:I20)</f>
        <v>0</v>
      </c>
      <c r="F79" s="240">
        <f>SUM(H20)</f>
        <v>0</v>
      </c>
      <c r="G79" s="240">
        <f>SUM(J20:M20)</f>
        <v>0</v>
      </c>
      <c r="H79" s="241">
        <f>SUM(J20)</f>
        <v>0</v>
      </c>
      <c r="I79" s="240">
        <f>SUM(N20:O20)</f>
        <v>0</v>
      </c>
      <c r="J79" s="240">
        <f>SUM(N20)</f>
        <v>0</v>
      </c>
      <c r="K79" s="240">
        <f>P20+Q20</f>
        <v>0</v>
      </c>
      <c r="L79" s="240">
        <f>SUM(R20:U20)</f>
        <v>0</v>
      </c>
      <c r="M79" s="240">
        <f>SUM(V20:Y20)</f>
        <v>0</v>
      </c>
      <c r="N79" s="535">
        <f>SUM(V20:W20)</f>
        <v>0</v>
      </c>
      <c r="O79" s="240">
        <f>SUM(Z20:AB20)</f>
        <v>0</v>
      </c>
      <c r="P79" s="240">
        <f>SUM(Z20)</f>
        <v>0</v>
      </c>
      <c r="Q79" s="240">
        <f>SUM(AC20:AJ20)</f>
        <v>0</v>
      </c>
      <c r="R79" s="240"/>
      <c r="S79" s="240">
        <f>SUM(AK20:AP20)</f>
        <v>0</v>
      </c>
      <c r="T79" s="240">
        <f>AK20+AM20+AO20</f>
        <v>0</v>
      </c>
      <c r="U79" s="240">
        <f>SUM(AQ20:AR20)</f>
        <v>0</v>
      </c>
      <c r="V79" s="240">
        <f>AQ20</f>
        <v>0</v>
      </c>
      <c r="W79" s="535">
        <f>AU20</f>
        <v>0</v>
      </c>
      <c r="X79" s="474">
        <f>D79+F79+H79+J79+N79+P79+R79+T79+V79</f>
        <v>0</v>
      </c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W79" s="181"/>
      <c r="BX79" s="27"/>
      <c r="BY79" s="27"/>
      <c r="BZ79" s="24"/>
      <c r="CA79" s="24"/>
      <c r="CB79" s="27"/>
      <c r="CC79" s="27"/>
      <c r="CD79" s="27"/>
      <c r="CE79" s="27"/>
      <c r="CY79" s="178"/>
    </row>
    <row r="80" spans="1:103" s="22" customFormat="1" ht="39.75" customHeight="1">
      <c r="A80" s="465" t="str">
        <f t="shared" si="3"/>
        <v>1 (d)</v>
      </c>
      <c r="B80" s="465">
        <f t="shared" si="3"/>
        <v>0</v>
      </c>
      <c r="C80" s="182">
        <f>SUM(D21:G21)</f>
        <v>0</v>
      </c>
      <c r="D80" s="182">
        <f>SUM(D21:E21)</f>
        <v>0</v>
      </c>
      <c r="E80" s="182">
        <f>SUM(H21:I21)</f>
        <v>0</v>
      </c>
      <c r="F80" s="182">
        <f>SUM(H21)</f>
        <v>0</v>
      </c>
      <c r="G80" s="182">
        <f>SUM(J21:M21)</f>
        <v>0</v>
      </c>
      <c r="H80" s="183">
        <f>SUM(J21)</f>
        <v>0</v>
      </c>
      <c r="I80" s="182">
        <f>SUM(N21:O21)</f>
        <v>0</v>
      </c>
      <c r="J80" s="182">
        <f>SUM(N21)</f>
        <v>0</v>
      </c>
      <c r="K80" s="240">
        <f>P21+Q21</f>
        <v>0</v>
      </c>
      <c r="L80" s="182">
        <f>SUM(R21:U21)</f>
        <v>0</v>
      </c>
      <c r="M80" s="182">
        <f>SUM(V21:Y21)</f>
        <v>0</v>
      </c>
      <c r="N80" s="182">
        <f>SUM(V21:W21)</f>
        <v>0</v>
      </c>
      <c r="O80" s="182">
        <f>SUM(Z21:AB21)</f>
        <v>0</v>
      </c>
      <c r="P80" s="182">
        <f>SUM(Z21)</f>
        <v>0</v>
      </c>
      <c r="Q80" s="182">
        <f>SUM(AC21:AJ21)</f>
        <v>0</v>
      </c>
      <c r="R80" s="182"/>
      <c r="S80" s="182">
        <f>SUM(AK21:AP21)</f>
        <v>0</v>
      </c>
      <c r="T80" s="182">
        <f>AK21+AM21+AO21</f>
        <v>0</v>
      </c>
      <c r="U80" s="182">
        <f>SUM(AQ21:AR21)</f>
        <v>0</v>
      </c>
      <c r="V80" s="182">
        <f>AQ21</f>
        <v>0</v>
      </c>
      <c r="W80" s="536">
        <f>AU21</f>
        <v>0</v>
      </c>
      <c r="X80" s="475">
        <f>D80+F80+H80+J80+N80+P80+R80+T80+V80</f>
        <v>0</v>
      </c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W80" s="181"/>
      <c r="BX80" s="27"/>
      <c r="BY80" s="27"/>
      <c r="BZ80" s="24"/>
      <c r="CA80" s="24"/>
      <c r="CB80" s="27"/>
      <c r="CC80" s="27"/>
      <c r="CD80" s="27"/>
      <c r="CE80" s="27"/>
      <c r="CY80" s="178"/>
    </row>
    <row r="81" spans="1:103" s="22" customFormat="1" ht="24" customHeight="1">
      <c r="A81" s="466">
        <f t="shared" si="3"/>
        <v>1</v>
      </c>
      <c r="B81" s="467" t="str">
        <f t="shared" si="3"/>
        <v>Total Plant cost</v>
      </c>
      <c r="C81" s="240"/>
      <c r="D81" s="240"/>
      <c r="E81" s="240"/>
      <c r="F81" s="240"/>
      <c r="G81" s="240"/>
      <c r="H81" s="241"/>
      <c r="I81" s="240"/>
      <c r="J81" s="240"/>
      <c r="K81" s="240"/>
      <c r="L81" s="240"/>
      <c r="M81" s="240"/>
      <c r="N81" s="240"/>
      <c r="O81" s="240"/>
      <c r="P81" s="240"/>
      <c r="Q81" s="240"/>
      <c r="R81" s="240"/>
      <c r="S81" s="240"/>
      <c r="T81" s="240"/>
      <c r="U81" s="240"/>
      <c r="V81" s="240"/>
      <c r="W81" s="537">
        <f>SUM(W77:W80)</f>
        <v>6.8364910457771728</v>
      </c>
      <c r="X81" s="474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W81" s="181"/>
      <c r="BX81" s="27"/>
      <c r="BY81" s="27"/>
      <c r="BZ81" s="24"/>
      <c r="CA81" s="24"/>
      <c r="CB81" s="27"/>
      <c r="CC81" s="27"/>
      <c r="CD81" s="27"/>
      <c r="CE81" s="27"/>
      <c r="CY81" s="178"/>
    </row>
    <row r="82" spans="1:103" s="22" customFormat="1" ht="25.5" customHeight="1">
      <c r="A82" s="466">
        <v>2</v>
      </c>
      <c r="B82" s="468" t="str">
        <f>+B23</f>
        <v>IDC</v>
      </c>
      <c r="C82" s="187"/>
      <c r="D82" s="187"/>
      <c r="E82" s="187"/>
      <c r="F82" s="187"/>
      <c r="G82" s="187"/>
      <c r="H82" s="187"/>
      <c r="I82" s="187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>
        <f>+AU23</f>
        <v>0.37030993164626358</v>
      </c>
      <c r="X82" s="476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W82" s="181"/>
      <c r="BX82" s="27"/>
      <c r="BY82" s="27"/>
      <c r="BZ82" s="24"/>
      <c r="CA82" s="24"/>
      <c r="CB82" s="27"/>
      <c r="CC82" s="27"/>
      <c r="CD82" s="27"/>
      <c r="CE82" s="27"/>
    </row>
    <row r="83" spans="1:103" s="22" customFormat="1" ht="33" customHeight="1">
      <c r="A83" s="466">
        <v>3</v>
      </c>
      <c r="B83" s="469" t="str">
        <f>B24</f>
        <v xml:space="preserve">CAPITAL COST </v>
      </c>
      <c r="C83" s="239"/>
      <c r="D83" s="239"/>
      <c r="E83" s="239"/>
      <c r="F83" s="239"/>
      <c r="G83" s="239"/>
      <c r="H83" s="239"/>
      <c r="I83" s="239"/>
      <c r="J83" s="239"/>
      <c r="K83" s="239"/>
      <c r="L83" s="239"/>
      <c r="M83" s="239"/>
      <c r="N83" s="239"/>
      <c r="O83" s="239"/>
      <c r="P83" s="239"/>
      <c r="Q83" s="239"/>
      <c r="R83" s="239"/>
      <c r="S83" s="239"/>
      <c r="T83" s="239"/>
      <c r="U83" s="239"/>
      <c r="V83" s="239"/>
      <c r="W83" s="539">
        <f>SUM(W81:W82)</f>
        <v>7.2068009774234367</v>
      </c>
      <c r="X83" s="477">
        <f>SUM(X77:X82)</f>
        <v>0</v>
      </c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W83" s="181"/>
      <c r="BX83" s="27"/>
      <c r="BY83" s="27"/>
      <c r="BZ83" s="24"/>
      <c r="CA83" s="24"/>
      <c r="CB83" s="27"/>
      <c r="CC83" s="27"/>
      <c r="CD83" s="27"/>
      <c r="CE83" s="27"/>
    </row>
    <row r="84" spans="1:103" s="22" customFormat="1" ht="22.8">
      <c r="A84" s="466">
        <v>4</v>
      </c>
      <c r="B84" s="10" t="str">
        <f>B25</f>
        <v>Input tax credit (ITC)</v>
      </c>
      <c r="C84" s="187"/>
      <c r="D84" s="187"/>
      <c r="E84" s="187"/>
      <c r="F84" s="187"/>
      <c r="G84" s="187"/>
      <c r="H84" s="187"/>
      <c r="I84" s="187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>
        <f>+AU25</f>
        <v>0.8423493307390062</v>
      </c>
      <c r="X84" s="476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W84" s="27"/>
      <c r="BX84" s="27"/>
      <c r="BY84" s="27"/>
      <c r="BZ84" s="24"/>
      <c r="CA84" s="27"/>
      <c r="CB84" s="27"/>
      <c r="CC84" s="51"/>
      <c r="CD84" s="27"/>
      <c r="CE84" s="27"/>
    </row>
    <row r="85" spans="1:103" s="22" customFormat="1" ht="22.8">
      <c r="A85" s="466">
        <v>5</v>
      </c>
      <c r="B85" s="478" t="str">
        <f>B26</f>
        <v>Capital Cost net of ITC</v>
      </c>
      <c r="C85" s="239"/>
      <c r="D85" s="239"/>
      <c r="E85" s="239"/>
      <c r="F85" s="239"/>
      <c r="G85" s="239"/>
      <c r="H85" s="239"/>
      <c r="I85" s="239"/>
      <c r="J85" s="239"/>
      <c r="K85" s="239"/>
      <c r="L85" s="239"/>
      <c r="M85" s="239"/>
      <c r="N85" s="239"/>
      <c r="O85" s="239"/>
      <c r="P85" s="239"/>
      <c r="Q85" s="239"/>
      <c r="R85" s="239"/>
      <c r="S85" s="239"/>
      <c r="T85" s="239"/>
      <c r="U85" s="239"/>
      <c r="V85" s="239"/>
      <c r="W85" s="539">
        <f>W83-W84</f>
        <v>6.3644516466844303</v>
      </c>
      <c r="X85" s="477">
        <f>X83-X84</f>
        <v>0</v>
      </c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W85" s="27"/>
      <c r="BX85" s="27"/>
      <c r="BY85" s="27"/>
      <c r="BZ85" s="24"/>
      <c r="CA85" s="27"/>
      <c r="CB85" s="27"/>
      <c r="CC85" s="27"/>
      <c r="CD85" s="27"/>
      <c r="CE85" s="27"/>
    </row>
    <row r="86" spans="1:103" s="22" customFormat="1"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W86" s="27"/>
      <c r="BX86" s="27"/>
      <c r="BY86" s="27"/>
      <c r="BZ86" s="24"/>
      <c r="CA86" s="27"/>
      <c r="CB86" s="27"/>
      <c r="CC86" s="27"/>
      <c r="CD86" s="27"/>
      <c r="CE86" s="27"/>
    </row>
    <row r="87" spans="1:103" s="22" customFormat="1"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W87" s="27"/>
      <c r="BX87" s="27"/>
      <c r="BY87" s="27"/>
      <c r="BZ87" s="24"/>
      <c r="CA87" s="27"/>
      <c r="CB87" s="27"/>
      <c r="CC87" s="27"/>
      <c r="CD87" s="27"/>
      <c r="CE87" s="27"/>
    </row>
    <row r="88" spans="1:103" s="22" customFormat="1"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W88" s="27"/>
      <c r="BX88" s="27"/>
      <c r="BY88" s="27"/>
      <c r="BZ88" s="24"/>
      <c r="CA88" s="27"/>
      <c r="CB88" s="27"/>
      <c r="CC88" s="27"/>
      <c r="CD88" s="27"/>
      <c r="CE88" s="27"/>
    </row>
    <row r="89" spans="1:103" s="22" customFormat="1">
      <c r="D89" s="24"/>
    </row>
    <row r="90" spans="1:103" s="19" customFormat="1" ht="15.6">
      <c r="A90" s="22"/>
      <c r="B90" s="22"/>
      <c r="C90" s="23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8"/>
    </row>
    <row r="91" spans="1:103">
      <c r="A91" s="22"/>
      <c r="B91" s="22"/>
      <c r="C91" s="24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17"/>
    </row>
    <row r="92" spans="1:103" ht="15.75" customHeight="1">
      <c r="A92" s="763" t="s">
        <v>169</v>
      </c>
      <c r="B92" s="763"/>
      <c r="C92" s="763"/>
      <c r="D92" s="763"/>
      <c r="E92" s="763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17"/>
    </row>
    <row r="93" spans="1:103" ht="15.75" customHeight="1">
      <c r="A93" s="763" t="str">
        <f>A66</f>
        <v>IISCO STEEL PLANT</v>
      </c>
      <c r="B93" s="763"/>
      <c r="C93" s="763"/>
      <c r="D93" s="763"/>
      <c r="E93" s="763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17"/>
    </row>
    <row r="94" spans="1:103" ht="39" customHeight="1">
      <c r="A94" s="758" t="str">
        <f>A67</f>
        <v>INSTALLATION OF FLARE STACK FOR COB-10, ISP</v>
      </c>
      <c r="B94" s="758"/>
      <c r="C94" s="758"/>
      <c r="D94" s="758"/>
      <c r="E94" s="758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17"/>
    </row>
    <row r="95" spans="1:103" ht="15.75" hidden="1" customHeight="1">
      <c r="A95" s="20"/>
      <c r="B95" s="20"/>
      <c r="C95" s="20"/>
      <c r="D95" s="21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17"/>
    </row>
    <row r="96" spans="1:103" ht="15" customHeight="1">
      <c r="A96" s="760" t="s">
        <v>168</v>
      </c>
      <c r="B96" s="760"/>
      <c r="C96" s="760"/>
      <c r="D96" s="760"/>
      <c r="E96" s="760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17"/>
    </row>
    <row r="97" spans="1:32" ht="15.6">
      <c r="A97" s="759" t="s">
        <v>188</v>
      </c>
      <c r="B97" s="759"/>
      <c r="C97" s="759"/>
      <c r="D97" s="759"/>
      <c r="E97" s="759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17"/>
    </row>
    <row r="98" spans="1:32" ht="15.6">
      <c r="A98" s="22"/>
      <c r="B98" s="21"/>
      <c r="C98" s="25" t="str">
        <f>C71</f>
        <v>1USD=Rs.(with forward premium rate)</v>
      </c>
      <c r="D98" s="64">
        <f>D71</f>
        <v>68.096249999999998</v>
      </c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17"/>
    </row>
    <row r="99" spans="1:32" ht="15.6">
      <c r="A99" s="22"/>
      <c r="B99" s="21"/>
      <c r="C99" s="25" t="str">
        <f>C72</f>
        <v>1EURO=Rs.(with forward premium rate)</v>
      </c>
      <c r="D99" s="64">
        <f>D72</f>
        <v>74.878282187500005</v>
      </c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17"/>
    </row>
    <row r="100" spans="1:32" ht="24" customHeight="1" thickBot="1">
      <c r="A100" s="21" t="str">
        <f>+O4</f>
        <v>Base date: 4th Qtr 2020</v>
      </c>
      <c r="B100" s="22"/>
      <c r="C100" s="755" t="str">
        <f>O6</f>
        <v>Figures in Rs. Crore</v>
      </c>
      <c r="D100" s="755"/>
      <c r="E100" s="755"/>
      <c r="F100" s="22"/>
      <c r="G100" s="21"/>
      <c r="H100" s="22"/>
      <c r="I100" s="22"/>
      <c r="J100" s="21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17"/>
    </row>
    <row r="101" spans="1:32" ht="15.6">
      <c r="A101" s="30" t="s">
        <v>161</v>
      </c>
      <c r="B101" s="47" t="s">
        <v>4</v>
      </c>
      <c r="C101" s="44" t="s">
        <v>25</v>
      </c>
      <c r="D101" s="31" t="s">
        <v>22</v>
      </c>
      <c r="E101" s="32" t="s">
        <v>164</v>
      </c>
      <c r="F101" s="22"/>
      <c r="G101" s="22"/>
      <c r="H101" s="22"/>
      <c r="I101" s="22"/>
      <c r="J101" s="21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17"/>
    </row>
    <row r="102" spans="1:32" ht="16.2" thickBot="1">
      <c r="A102" s="42" t="s">
        <v>162</v>
      </c>
      <c r="B102" s="39"/>
      <c r="C102" s="45"/>
      <c r="D102" s="38"/>
      <c r="E102" s="43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17"/>
    </row>
    <row r="103" spans="1:32" ht="24.9" customHeight="1">
      <c r="A103" s="40">
        <v>1</v>
      </c>
      <c r="B103" s="41" t="s">
        <v>44</v>
      </c>
      <c r="C103" s="28">
        <f>SUM(D18:E21)</f>
        <v>0</v>
      </c>
      <c r="D103" s="19">
        <f>SUM(F18:G21)</f>
        <v>2.7850670357142859</v>
      </c>
      <c r="E103" s="41">
        <f>C103+D103</f>
        <v>2.7850670357142859</v>
      </c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17"/>
    </row>
    <row r="104" spans="1:32" ht="24.9" customHeight="1">
      <c r="A104" s="34">
        <v>2</v>
      </c>
      <c r="B104" s="33" t="s">
        <v>72</v>
      </c>
      <c r="C104" s="17">
        <f>SUM(H18:H21)</f>
        <v>0</v>
      </c>
      <c r="D104" s="3">
        <f>SUM(I18:I21)</f>
        <v>0</v>
      </c>
      <c r="E104" s="33">
        <f t="shared" ref="E104:E113" si="4">C104+D104</f>
        <v>0</v>
      </c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17"/>
    </row>
    <row r="105" spans="1:32" ht="24.9" customHeight="1">
      <c r="A105" s="34">
        <v>3</v>
      </c>
      <c r="B105" s="33" t="s">
        <v>73</v>
      </c>
      <c r="C105" s="17">
        <f>SUM(J18:J21)</f>
        <v>0</v>
      </c>
      <c r="D105" s="3">
        <f>SUM(K18:M21)</f>
        <v>0.49875000000000003</v>
      </c>
      <c r="E105" s="33">
        <f t="shared" si="4"/>
        <v>0.49875000000000003</v>
      </c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17"/>
    </row>
    <row r="106" spans="1:32" ht="24.9" customHeight="1">
      <c r="A106" s="34">
        <v>4</v>
      </c>
      <c r="B106" s="33" t="s">
        <v>74</v>
      </c>
      <c r="C106" s="17">
        <f>SUM(N18:N21)</f>
        <v>0</v>
      </c>
      <c r="D106" s="3">
        <f>SUM(O18:O21)</f>
        <v>0</v>
      </c>
      <c r="E106" s="33">
        <f t="shared" si="4"/>
        <v>0</v>
      </c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17"/>
    </row>
    <row r="107" spans="1:32" ht="24.9" customHeight="1">
      <c r="A107" s="34">
        <v>5</v>
      </c>
      <c r="B107" s="33" t="s">
        <v>75</v>
      </c>
      <c r="C107" s="17"/>
      <c r="D107" s="3">
        <f>SUM(P18:Q21)</f>
        <v>0.94605484173913046</v>
      </c>
      <c r="E107" s="33">
        <f t="shared" si="4"/>
        <v>0.94605484173913046</v>
      </c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8"/>
      <c r="W107" s="19"/>
      <c r="X107" s="19"/>
      <c r="Y107" s="19"/>
      <c r="Z107" s="19"/>
      <c r="AA107" s="19"/>
      <c r="AB107" s="19"/>
      <c r="AC107" s="19"/>
      <c r="AD107" s="19"/>
      <c r="AE107" s="19"/>
    </row>
    <row r="108" spans="1:32" ht="24.9" customHeight="1">
      <c r="A108" s="34">
        <v>6</v>
      </c>
      <c r="B108" s="33" t="s">
        <v>194</v>
      </c>
      <c r="C108" s="17"/>
      <c r="D108" s="3">
        <f>SUM(R18:U21)</f>
        <v>0.43395804428571433</v>
      </c>
      <c r="E108" s="33">
        <f t="shared" si="4"/>
        <v>0.43395804428571433</v>
      </c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17"/>
    </row>
    <row r="109" spans="1:32" ht="24.9" customHeight="1">
      <c r="A109" s="34">
        <v>7</v>
      </c>
      <c r="B109" s="33" t="s">
        <v>166</v>
      </c>
      <c r="C109" s="17">
        <f>SUM(V18:W21)</f>
        <v>0</v>
      </c>
      <c r="D109" s="3">
        <f>SUM(X18:Y21)</f>
        <v>0.84738724413043487</v>
      </c>
      <c r="E109" s="33">
        <f t="shared" si="4"/>
        <v>0.84738724413043487</v>
      </c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17"/>
    </row>
    <row r="110" spans="1:32" ht="24.9" customHeight="1">
      <c r="A110" s="34">
        <v>8</v>
      </c>
      <c r="B110" s="33" t="s">
        <v>167</v>
      </c>
      <c r="C110" s="17">
        <f>SUM(Z18:Z21)</f>
        <v>0</v>
      </c>
      <c r="D110" s="3">
        <f>SUM(AA18:AB21)</f>
        <v>0.10058884071428573</v>
      </c>
      <c r="E110" s="33">
        <f t="shared" si="4"/>
        <v>0.10058884071428573</v>
      </c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17"/>
    </row>
    <row r="111" spans="1:32" ht="24.9" customHeight="1">
      <c r="A111" s="34">
        <v>9</v>
      </c>
      <c r="B111" s="33" t="s">
        <v>76</v>
      </c>
      <c r="C111" s="17"/>
      <c r="D111" s="3">
        <f>SUM(AC18:AI21)</f>
        <v>0.89913784653726703</v>
      </c>
      <c r="E111" s="33">
        <f t="shared" si="4"/>
        <v>0.89913784653726703</v>
      </c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17"/>
    </row>
    <row r="112" spans="1:32" ht="24.9" customHeight="1">
      <c r="A112" s="34">
        <v>10</v>
      </c>
      <c r="B112" s="33" t="s">
        <v>108</v>
      </c>
      <c r="C112" s="17">
        <f>SUM(T77:T80)</f>
        <v>0</v>
      </c>
      <c r="D112" s="3">
        <f>E112-C112</f>
        <v>0</v>
      </c>
      <c r="E112" s="33">
        <f>SUM(S77:S80)</f>
        <v>0</v>
      </c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17"/>
    </row>
    <row r="113" spans="1:21" ht="24.9" customHeight="1">
      <c r="A113" s="34">
        <v>11</v>
      </c>
      <c r="B113" s="33" t="s">
        <v>77</v>
      </c>
      <c r="C113" s="17">
        <f>SUM(AQ18:AQ21)</f>
        <v>0</v>
      </c>
      <c r="D113" s="3">
        <f>SUM(AR18:AR21)</f>
        <v>0.32554719265605592</v>
      </c>
      <c r="E113" s="33">
        <f t="shared" si="4"/>
        <v>0.32554719265605592</v>
      </c>
      <c r="F113" s="22"/>
      <c r="G113" s="22"/>
      <c r="H113" s="22"/>
      <c r="I113" s="22"/>
      <c r="J113" s="22"/>
      <c r="K113" s="22"/>
      <c r="L113" s="22"/>
      <c r="M113" s="28"/>
      <c r="N113" s="19"/>
      <c r="O113" s="19"/>
      <c r="P113" s="19"/>
      <c r="Q113" s="19"/>
      <c r="R113" s="19"/>
      <c r="S113" s="19"/>
      <c r="T113" s="19"/>
      <c r="U113" s="19"/>
    </row>
    <row r="114" spans="1:21" ht="24.9" customHeight="1">
      <c r="A114" s="35">
        <v>12</v>
      </c>
      <c r="B114" s="36" t="s">
        <v>78</v>
      </c>
      <c r="C114" s="46">
        <f>SUM(C103:C113)</f>
        <v>0</v>
      </c>
      <c r="D114" s="5">
        <f>SUM(D103:D113)</f>
        <v>6.8364910457771737</v>
      </c>
      <c r="E114" s="36">
        <f>SUM(E103:E113)</f>
        <v>6.8364910457771737</v>
      </c>
      <c r="F114" s="22"/>
      <c r="G114" s="22"/>
      <c r="H114" s="22"/>
      <c r="I114" s="22"/>
      <c r="J114" s="22"/>
      <c r="K114" s="22"/>
      <c r="L114" s="22"/>
      <c r="M114" s="17"/>
    </row>
    <row r="115" spans="1:21" ht="24.9" customHeight="1">
      <c r="A115" s="34">
        <v>13</v>
      </c>
      <c r="B115" s="33" t="s">
        <v>79</v>
      </c>
      <c r="C115" s="17"/>
      <c r="E115" s="33">
        <f>AU23</f>
        <v>0.37030993164626358</v>
      </c>
      <c r="F115" s="22"/>
      <c r="G115" s="22"/>
      <c r="H115" s="22"/>
      <c r="I115" s="22"/>
      <c r="J115" s="22"/>
      <c r="K115" s="22"/>
      <c r="L115" s="22"/>
      <c r="M115" s="17"/>
    </row>
    <row r="116" spans="1:21" ht="19.5" customHeight="1">
      <c r="A116" s="34">
        <v>14</v>
      </c>
      <c r="B116" s="36" t="s">
        <v>171</v>
      </c>
      <c r="C116" s="17"/>
      <c r="E116" s="36">
        <f>+E115+E114</f>
        <v>7.2068009774234376</v>
      </c>
      <c r="F116" s="22"/>
      <c r="G116" s="22"/>
      <c r="H116" s="22"/>
      <c r="I116" s="22"/>
      <c r="J116" s="21"/>
      <c r="K116" s="22"/>
      <c r="L116" s="22"/>
      <c r="M116" s="17"/>
    </row>
    <row r="117" spans="1:21" ht="18.75" customHeight="1">
      <c r="A117" s="34">
        <v>15</v>
      </c>
      <c r="B117" s="33" t="str">
        <f>B84</f>
        <v>Input tax credit (ITC)</v>
      </c>
      <c r="C117" s="17"/>
      <c r="E117" s="33">
        <f>-AU25</f>
        <v>-0.8423493307390062</v>
      </c>
      <c r="F117" s="22"/>
      <c r="G117" s="22"/>
      <c r="H117" s="22"/>
      <c r="I117" s="22"/>
      <c r="J117" s="22"/>
      <c r="K117" s="22"/>
      <c r="L117" s="22"/>
      <c r="M117" s="17"/>
    </row>
    <row r="118" spans="1:21" ht="21" customHeight="1" thickBot="1">
      <c r="A118" s="37">
        <v>16</v>
      </c>
      <c r="B118" s="39" t="str">
        <f>B85</f>
        <v>Capital Cost net of ITC</v>
      </c>
      <c r="C118" s="45"/>
      <c r="D118" s="38"/>
      <c r="E118" s="39">
        <f>+E116+E117</f>
        <v>6.3644516466844312</v>
      </c>
      <c r="F118" s="22"/>
      <c r="G118" s="22"/>
      <c r="H118" s="22"/>
      <c r="I118" s="22"/>
      <c r="J118" s="21"/>
      <c r="K118" s="22"/>
      <c r="L118" s="22"/>
      <c r="M118" s="17"/>
    </row>
    <row r="119" spans="1:21" s="18" customForma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9"/>
    </row>
    <row r="120" spans="1:21" s="22" customFormat="1"/>
    <row r="121" spans="1:21" s="22" customFormat="1"/>
    <row r="122" spans="1:21" s="22" customFormat="1"/>
    <row r="123" spans="1:21" s="22" customFormat="1"/>
    <row r="124" spans="1:21" s="22" customFormat="1"/>
    <row r="125" spans="1:21" s="22" customFormat="1"/>
    <row r="126" spans="1:21" s="22" customFormat="1"/>
    <row r="127" spans="1:21" s="22" customFormat="1"/>
    <row r="128" spans="1:21" s="22" customFormat="1"/>
    <row r="129" s="22" customFormat="1"/>
    <row r="130" s="22" customFormat="1"/>
    <row r="131" s="22" customFormat="1"/>
    <row r="132" s="22" customFormat="1"/>
    <row r="133" s="22" customFormat="1"/>
    <row r="134" s="22" customFormat="1"/>
    <row r="135" s="22" customFormat="1"/>
    <row r="136" s="22" customFormat="1"/>
    <row r="137" s="22" customFormat="1"/>
    <row r="138" s="22" customFormat="1"/>
    <row r="139" s="22" customFormat="1"/>
  </sheetData>
  <autoFilter ref="A1:DX139">
    <filterColumn colId="4" showButton="0"/>
    <filterColumn colId="5" showButton="0"/>
    <filterColumn colId="6" showButton="0"/>
    <filterColumn colId="7" showButton="0"/>
    <filterColumn colId="8" showButton="0"/>
    <filterColumn colId="9" showButton="0"/>
  </autoFilter>
  <mergeCells count="43">
    <mergeCell ref="E1:K1"/>
    <mergeCell ref="E6:K6"/>
    <mergeCell ref="L12:M12"/>
    <mergeCell ref="N12:O12"/>
    <mergeCell ref="R12:U12"/>
    <mergeCell ref="AV12:AX12"/>
    <mergeCell ref="AO12:AP12"/>
    <mergeCell ref="AQ12:AR12"/>
    <mergeCell ref="AS12:AU12"/>
    <mergeCell ref="D13:E13"/>
    <mergeCell ref="AC12:AG12"/>
    <mergeCell ref="AH12:AJ12"/>
    <mergeCell ref="AK12:AL12"/>
    <mergeCell ref="AM12:AN12"/>
    <mergeCell ref="F13:G13"/>
    <mergeCell ref="P12:Q12"/>
    <mergeCell ref="V13:X13"/>
    <mergeCell ref="AV13:AX13"/>
    <mergeCell ref="V12:Y12"/>
    <mergeCell ref="Z12:AB12"/>
    <mergeCell ref="W14:X14"/>
    <mergeCell ref="W38:Z38"/>
    <mergeCell ref="Y39:Z39"/>
    <mergeCell ref="A96:E96"/>
    <mergeCell ref="O73:P73"/>
    <mergeCell ref="O71:P71"/>
    <mergeCell ref="O72:P72"/>
    <mergeCell ref="A65:V65"/>
    <mergeCell ref="A66:V66"/>
    <mergeCell ref="Q73:R73"/>
    <mergeCell ref="A69:V69"/>
    <mergeCell ref="A92:E92"/>
    <mergeCell ref="A93:E93"/>
    <mergeCell ref="BE5:BE6"/>
    <mergeCell ref="C100:E100"/>
    <mergeCell ref="C73:D73"/>
    <mergeCell ref="E73:F73"/>
    <mergeCell ref="G73:H73"/>
    <mergeCell ref="I73:J73"/>
    <mergeCell ref="M73:N73"/>
    <mergeCell ref="A67:V67"/>
    <mergeCell ref="A94:E94"/>
    <mergeCell ref="A97:E97"/>
  </mergeCells>
  <printOptions horizontalCentered="1"/>
  <pageMargins left="0.31496062992125984" right="0.11811023622047245" top="1.3385826771653544" bottom="0.35433070866141736" header="0.31496062992125984" footer="0.11811023622047245"/>
  <pageSetup paperSize="9" scale="45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AN28"/>
  <sheetViews>
    <sheetView workbookViewId="0">
      <selection activeCell="L13" sqref="L13"/>
    </sheetView>
  </sheetViews>
  <sheetFormatPr defaultColWidth="10.1796875" defaultRowHeight="15"/>
  <cols>
    <col min="1" max="6" width="10.1796875" style="268"/>
    <col min="7" max="7" width="11.6328125" style="268" customWidth="1"/>
    <col min="8" max="9" width="10.1796875" style="268"/>
    <col min="10" max="10" width="13.453125" style="268" customWidth="1"/>
    <col min="11" max="16384" width="10.1796875" style="268"/>
  </cols>
  <sheetData>
    <row r="5" spans="1:40" ht="15.6">
      <c r="G5" s="269" t="s">
        <v>211</v>
      </c>
      <c r="H5" s="269"/>
      <c r="J5" s="270"/>
    </row>
    <row r="6" spans="1:40" ht="15.6">
      <c r="G6" s="269"/>
      <c r="H6" s="269"/>
      <c r="J6" s="270"/>
    </row>
    <row r="7" spans="1:40" ht="17.399999999999999">
      <c r="A7" s="775" t="s">
        <v>354</v>
      </c>
      <c r="B7" s="775"/>
      <c r="C7" s="775"/>
      <c r="D7" s="775"/>
      <c r="E7" s="775"/>
      <c r="F7" s="775"/>
      <c r="G7" s="775"/>
      <c r="H7" s="269"/>
      <c r="J7" s="270"/>
    </row>
    <row r="8" spans="1:40" ht="17.399999999999999">
      <c r="A8" s="776" t="str">
        <f>capcost!E2</f>
        <v>IISCO STEEL PLANT</v>
      </c>
      <c r="B8" s="776"/>
      <c r="C8" s="776"/>
      <c r="D8" s="776"/>
      <c r="E8" s="776"/>
      <c r="F8" s="776"/>
      <c r="G8" s="776"/>
      <c r="H8" s="269"/>
      <c r="J8" s="271"/>
    </row>
    <row r="9" spans="1:40" ht="24" customHeight="1">
      <c r="A9" s="777" t="str">
        <f>capcost!E3</f>
        <v>INSTALLATION OF FLARE STACK FOR COB-10, ISP</v>
      </c>
      <c r="B9" s="777"/>
      <c r="C9" s="777"/>
      <c r="D9" s="777"/>
      <c r="E9" s="777"/>
      <c r="F9" s="777"/>
      <c r="G9" s="777"/>
      <c r="H9" s="269"/>
      <c r="J9" s="270"/>
    </row>
    <row r="10" spans="1:40" ht="27" customHeight="1">
      <c r="A10" s="778" t="s">
        <v>212</v>
      </c>
      <c r="B10" s="778"/>
      <c r="C10" s="778"/>
      <c r="D10" s="778"/>
      <c r="E10" s="778"/>
      <c r="F10" s="778"/>
      <c r="G10" s="778"/>
      <c r="H10" s="272"/>
    </row>
    <row r="11" spans="1:40" ht="19.5" customHeight="1">
      <c r="B11" s="272"/>
      <c r="C11" s="272"/>
      <c r="D11" s="272"/>
      <c r="E11" s="272"/>
      <c r="F11" s="272"/>
      <c r="G11" s="273" t="str">
        <f>capcost!O4</f>
        <v>Base date: 4th Qtr 2020</v>
      </c>
      <c r="H11" s="272"/>
    </row>
    <row r="12" spans="1:40" s="278" customFormat="1" ht="20.25" customHeight="1">
      <c r="A12" s="274" t="s">
        <v>213</v>
      </c>
      <c r="B12" s="275" t="s">
        <v>241</v>
      </c>
      <c r="C12" s="276"/>
      <c r="D12" s="276"/>
      <c r="E12" s="277"/>
      <c r="F12" s="274" t="s">
        <v>163</v>
      </c>
      <c r="G12" s="274" t="s">
        <v>183</v>
      </c>
      <c r="H12" s="779" t="s">
        <v>214</v>
      </c>
      <c r="I12" s="779"/>
      <c r="J12" s="779"/>
      <c r="X12" s="279"/>
      <c r="Y12" s="280"/>
      <c r="AB12" s="280"/>
      <c r="AD12" s="279"/>
      <c r="AE12" s="280"/>
      <c r="AH12" s="280"/>
      <c r="AK12" s="278" t="s">
        <v>215</v>
      </c>
      <c r="AM12" s="278" t="s">
        <v>216</v>
      </c>
      <c r="AN12" s="280" t="e">
        <f>#REF!</f>
        <v>#REF!</v>
      </c>
    </row>
    <row r="13" spans="1:40" ht="31.5" customHeight="1">
      <c r="A13" s="281">
        <v>1</v>
      </c>
      <c r="B13" s="780" t="s">
        <v>240</v>
      </c>
      <c r="C13" s="781"/>
      <c r="D13" s="781"/>
      <c r="E13" s="782"/>
      <c r="F13" s="295" t="s">
        <v>30</v>
      </c>
      <c r="G13" s="285">
        <v>454354.92000000004</v>
      </c>
      <c r="H13" s="783"/>
      <c r="I13" s="784"/>
      <c r="J13" s="785"/>
      <c r="L13" s="272"/>
      <c r="R13" s="271"/>
      <c r="X13" s="271"/>
      <c r="Y13" s="283"/>
      <c r="AB13" s="283"/>
      <c r="AD13" s="271"/>
      <c r="AE13" s="283"/>
      <c r="AH13" s="283"/>
      <c r="AK13" s="268" t="s">
        <v>217</v>
      </c>
      <c r="AM13" s="268" t="s">
        <v>216</v>
      </c>
      <c r="AN13" s="283">
        <v>8.7878353006035521</v>
      </c>
    </row>
    <row r="14" spans="1:40" ht="19.5" customHeight="1">
      <c r="A14" s="281">
        <v>2</v>
      </c>
      <c r="B14" s="786" t="s">
        <v>218</v>
      </c>
      <c r="C14" s="787"/>
      <c r="D14" s="787"/>
      <c r="E14" s="788"/>
      <c r="F14" s="295" t="s">
        <v>30</v>
      </c>
      <c r="G14" s="285">
        <v>19376.901000000002</v>
      </c>
      <c r="H14" s="789" t="s">
        <v>219</v>
      </c>
      <c r="I14" s="790"/>
      <c r="J14" s="791"/>
      <c r="M14" s="272"/>
      <c r="N14" s="272"/>
      <c r="O14" s="272"/>
      <c r="R14" s="271"/>
      <c r="S14" s="284"/>
      <c r="X14" s="271"/>
      <c r="Y14" s="283"/>
      <c r="AA14" s="283"/>
      <c r="AB14" s="283"/>
      <c r="AD14" s="271"/>
      <c r="AE14" s="283"/>
      <c r="AF14" s="283"/>
      <c r="AG14" s="283"/>
      <c r="AH14" s="283"/>
      <c r="AK14" s="268" t="s">
        <v>220</v>
      </c>
      <c r="AM14" s="268" t="s">
        <v>221</v>
      </c>
      <c r="AN14" s="283">
        <v>9.279954077437349</v>
      </c>
    </row>
    <row r="15" spans="1:40" ht="19.5" customHeight="1">
      <c r="A15" s="281">
        <v>3</v>
      </c>
      <c r="B15" s="786" t="s">
        <v>222</v>
      </c>
      <c r="C15" s="787"/>
      <c r="D15" s="787"/>
      <c r="E15" s="788"/>
      <c r="F15" s="295" t="s">
        <v>223</v>
      </c>
      <c r="G15" s="285">
        <v>213814080</v>
      </c>
      <c r="H15" s="789" t="s">
        <v>219</v>
      </c>
      <c r="I15" s="790"/>
      <c r="J15" s="791"/>
      <c r="L15" s="272"/>
      <c r="R15" s="271"/>
      <c r="S15" s="284"/>
      <c r="X15" s="271"/>
      <c r="AA15" s="283"/>
      <c r="AB15" s="283"/>
      <c r="AD15" s="271"/>
      <c r="AF15" s="283"/>
      <c r="AG15" s="283"/>
      <c r="AH15" s="283"/>
      <c r="AK15" s="268" t="s">
        <v>224</v>
      </c>
      <c r="AM15" s="268" t="s">
        <v>221</v>
      </c>
      <c r="AN15" s="283" t="e">
        <f>AN12-AN13-AN14</f>
        <v>#REF!</v>
      </c>
    </row>
    <row r="16" spans="1:40" ht="38.25" customHeight="1">
      <c r="A16" s="281">
        <v>4</v>
      </c>
      <c r="B16" s="786" t="s">
        <v>225</v>
      </c>
      <c r="C16" s="787"/>
      <c r="D16" s="787"/>
      <c r="E16" s="788"/>
      <c r="F16" s="295" t="s">
        <v>226</v>
      </c>
      <c r="G16" s="285">
        <v>18947.68</v>
      </c>
      <c r="H16" s="792" t="s">
        <v>227</v>
      </c>
      <c r="I16" s="792"/>
      <c r="J16" s="792"/>
      <c r="L16" s="272"/>
      <c r="R16" s="271"/>
      <c r="S16" s="284"/>
      <c r="X16" s="271"/>
      <c r="AA16" s="283"/>
      <c r="AB16" s="283"/>
      <c r="AD16" s="271"/>
      <c r="AF16" s="283"/>
      <c r="AG16" s="283"/>
      <c r="AH16" s="283"/>
    </row>
    <row r="17" spans="1:40" ht="108" customHeight="1">
      <c r="A17" s="281">
        <v>5</v>
      </c>
      <c r="B17" s="780" t="s">
        <v>228</v>
      </c>
      <c r="C17" s="781"/>
      <c r="D17" s="781"/>
      <c r="E17" s="782"/>
      <c r="F17" s="295" t="s">
        <v>226</v>
      </c>
      <c r="G17" s="285">
        <f>16469+1117.77+213.62</f>
        <v>17800.39</v>
      </c>
      <c r="H17" s="792" t="s">
        <v>229</v>
      </c>
      <c r="I17" s="793"/>
      <c r="J17" s="793"/>
      <c r="L17" s="272"/>
      <c r="R17" s="271"/>
      <c r="X17" s="271"/>
      <c r="AA17" s="283"/>
      <c r="AB17" s="283"/>
      <c r="AD17" s="271"/>
      <c r="AF17" s="283"/>
      <c r="AG17" s="283"/>
      <c r="AH17" s="283"/>
      <c r="AK17" s="268" t="s">
        <v>230</v>
      </c>
      <c r="AM17" s="268" t="s">
        <v>221</v>
      </c>
      <c r="AN17" s="283" t="e">
        <f>0.33*1.02*AN15</f>
        <v>#REF!</v>
      </c>
    </row>
    <row r="18" spans="1:40" ht="33.75" customHeight="1">
      <c r="A18" s="281">
        <v>6</v>
      </c>
      <c r="B18" s="786" t="s">
        <v>231</v>
      </c>
      <c r="C18" s="787"/>
      <c r="D18" s="787"/>
      <c r="E18" s="788"/>
      <c r="F18" s="295" t="s">
        <v>226</v>
      </c>
      <c r="G18" s="285">
        <v>5778.25</v>
      </c>
      <c r="H18" s="792" t="s">
        <v>227</v>
      </c>
      <c r="I18" s="792"/>
      <c r="J18" s="792"/>
      <c r="L18" s="272"/>
      <c r="R18" s="271"/>
      <c r="X18" s="271"/>
      <c r="AA18" s="283"/>
      <c r="AB18" s="283"/>
      <c r="AD18" s="271"/>
      <c r="AF18" s="283"/>
      <c r="AG18" s="283"/>
      <c r="AH18" s="283"/>
    </row>
    <row r="19" spans="1:40" ht="35.25" customHeight="1">
      <c r="A19" s="281">
        <v>7</v>
      </c>
      <c r="B19" s="786" t="s">
        <v>232</v>
      </c>
      <c r="C19" s="787"/>
      <c r="D19" s="787"/>
      <c r="E19" s="788"/>
      <c r="F19" s="295" t="s">
        <v>233</v>
      </c>
      <c r="G19" s="285">
        <v>656.62</v>
      </c>
      <c r="H19" s="792" t="s">
        <v>227</v>
      </c>
      <c r="I19" s="792"/>
      <c r="J19" s="792"/>
      <c r="L19" s="272"/>
      <c r="R19" s="271"/>
      <c r="S19" s="284"/>
      <c r="X19" s="271"/>
      <c r="AA19" s="283"/>
      <c r="AB19" s="283"/>
      <c r="AD19" s="271"/>
      <c r="AF19" s="283"/>
      <c r="AG19" s="283"/>
      <c r="AH19" s="283"/>
    </row>
    <row r="20" spans="1:40" s="278" customFormat="1" ht="20.25" customHeight="1">
      <c r="A20" s="274" t="s">
        <v>81</v>
      </c>
      <c r="B20" s="275" t="s">
        <v>242</v>
      </c>
      <c r="C20" s="299"/>
      <c r="D20" s="299"/>
      <c r="E20" s="300"/>
      <c r="F20" s="297"/>
      <c r="G20" s="297"/>
      <c r="H20" s="298"/>
      <c r="X20" s="279"/>
      <c r="AA20" s="280"/>
      <c r="AB20" s="280"/>
      <c r="AD20" s="279"/>
      <c r="AF20" s="280"/>
      <c r="AG20" s="280"/>
      <c r="AH20" s="280"/>
    </row>
    <row r="21" spans="1:40" ht="37.5" customHeight="1">
      <c r="A21" s="282">
        <v>1</v>
      </c>
      <c r="B21" s="780" t="s">
        <v>237</v>
      </c>
      <c r="C21" s="781"/>
      <c r="D21" s="781"/>
      <c r="E21" s="782"/>
      <c r="F21" s="295" t="s">
        <v>216</v>
      </c>
      <c r="G21" s="301">
        <f>G13*G17/10^7</f>
        <v>808.76947744187999</v>
      </c>
      <c r="H21" s="286"/>
      <c r="X21" s="271"/>
      <c r="AA21" s="283"/>
      <c r="AB21" s="283"/>
      <c r="AD21" s="271"/>
      <c r="AF21" s="283"/>
      <c r="AG21" s="283"/>
      <c r="AH21" s="283"/>
    </row>
    <row r="22" spans="1:40" ht="30.75" customHeight="1">
      <c r="A22" s="282">
        <v>2</v>
      </c>
      <c r="B22" s="786" t="s">
        <v>232</v>
      </c>
      <c r="C22" s="787"/>
      <c r="D22" s="787"/>
      <c r="E22" s="788"/>
      <c r="F22" s="295" t="s">
        <v>216</v>
      </c>
      <c r="G22" s="285">
        <f>-(4200*G15/10^6*G19)/10^7</f>
        <v>-58.965732508031998</v>
      </c>
      <c r="H22" s="287"/>
      <c r="X22" s="271"/>
      <c r="AA22" s="283"/>
      <c r="AB22" s="283"/>
      <c r="AD22" s="271"/>
      <c r="AF22" s="283"/>
      <c r="AG22" s="283"/>
      <c r="AH22" s="283"/>
    </row>
    <row r="23" spans="1:40" ht="30.75" customHeight="1">
      <c r="A23" s="282">
        <v>3</v>
      </c>
      <c r="B23" s="786" t="s">
        <v>235</v>
      </c>
      <c r="C23" s="787"/>
      <c r="D23" s="787"/>
      <c r="E23" s="788"/>
      <c r="F23" s="295" t="s">
        <v>216</v>
      </c>
      <c r="G23" s="285">
        <f>-G14*G18/10^7</f>
        <v>-11.196457820325001</v>
      </c>
      <c r="H23" s="287"/>
      <c r="X23" s="271"/>
      <c r="AA23" s="283"/>
      <c r="AB23" s="283"/>
      <c r="AD23" s="271"/>
      <c r="AF23" s="283"/>
      <c r="AG23" s="283"/>
      <c r="AH23" s="283"/>
    </row>
    <row r="24" spans="1:40" ht="34.5" customHeight="1">
      <c r="A24" s="282"/>
      <c r="B24" s="797" t="s">
        <v>243</v>
      </c>
      <c r="C24" s="798"/>
      <c r="D24" s="798"/>
      <c r="E24" s="799"/>
      <c r="F24" s="274" t="s">
        <v>216</v>
      </c>
      <c r="G24" s="288">
        <f>SUM(G21:G23)</f>
        <v>738.60728711352294</v>
      </c>
      <c r="H24" s="287"/>
      <c r="X24" s="271"/>
      <c r="AA24" s="283"/>
      <c r="AB24" s="283"/>
      <c r="AD24" s="271"/>
      <c r="AF24" s="283"/>
      <c r="AG24" s="283"/>
      <c r="AH24" s="283"/>
    </row>
    <row r="25" spans="1:40" s="278" customFormat="1" ht="21" customHeight="1">
      <c r="A25" s="274" t="s">
        <v>236</v>
      </c>
      <c r="B25" s="275" t="s">
        <v>244</v>
      </c>
      <c r="C25" s="299"/>
      <c r="D25" s="299"/>
      <c r="E25" s="300"/>
      <c r="F25" s="282"/>
      <c r="G25" s="289"/>
      <c r="H25" s="296"/>
      <c r="X25" s="279"/>
      <c r="AA25" s="280"/>
      <c r="AB25" s="280"/>
      <c r="AD25" s="279"/>
      <c r="AF25" s="280"/>
      <c r="AG25" s="280"/>
      <c r="AH25" s="280"/>
    </row>
    <row r="26" spans="1:40" ht="33.75" customHeight="1">
      <c r="A26" s="282">
        <v>1</v>
      </c>
      <c r="B26" s="780" t="s">
        <v>245</v>
      </c>
      <c r="C26" s="781"/>
      <c r="D26" s="781"/>
      <c r="E26" s="782"/>
      <c r="F26" s="295" t="s">
        <v>234</v>
      </c>
      <c r="G26" s="302">
        <f>G13*G16/10^7</f>
        <v>860.89716305856018</v>
      </c>
      <c r="H26" s="287"/>
      <c r="X26" s="271"/>
      <c r="AA26" s="283"/>
      <c r="AB26" s="283"/>
      <c r="AD26" s="271"/>
      <c r="AF26" s="283"/>
      <c r="AG26" s="283"/>
      <c r="AH26" s="283"/>
    </row>
    <row r="27" spans="1:40" ht="29.25" customHeight="1">
      <c r="A27" s="794" t="s">
        <v>246</v>
      </c>
      <c r="B27" s="795"/>
      <c r="C27" s="795"/>
      <c r="D27" s="795"/>
      <c r="E27" s="796"/>
      <c r="F27" s="290" t="s">
        <v>216</v>
      </c>
      <c r="G27" s="291">
        <f>G26-G24</f>
        <v>122.28987594503724</v>
      </c>
      <c r="H27" s="292"/>
      <c r="J27" s="283"/>
      <c r="X27" s="271"/>
      <c r="AA27" s="283"/>
      <c r="AB27" s="283"/>
      <c r="AD27" s="271"/>
      <c r="AF27" s="283"/>
      <c r="AG27" s="283"/>
      <c r="AH27" s="283"/>
    </row>
    <row r="28" spans="1:40">
      <c r="B28" s="293"/>
      <c r="C28" s="293"/>
      <c r="D28" s="293"/>
      <c r="E28" s="293"/>
      <c r="I28" s="283"/>
      <c r="J28" s="283"/>
      <c r="X28" s="271"/>
      <c r="AA28" s="283"/>
      <c r="AB28" s="283"/>
      <c r="AD28" s="271"/>
      <c r="AF28" s="283"/>
      <c r="AG28" s="283"/>
      <c r="AH28" s="283"/>
    </row>
  </sheetData>
  <mergeCells count="25">
    <mergeCell ref="A27:E27"/>
    <mergeCell ref="B26:E26"/>
    <mergeCell ref="B24:E24"/>
    <mergeCell ref="B21:E21"/>
    <mergeCell ref="B22:E22"/>
    <mergeCell ref="B23:E23"/>
    <mergeCell ref="B17:E17"/>
    <mergeCell ref="H17:J17"/>
    <mergeCell ref="B18:E18"/>
    <mergeCell ref="H18:J18"/>
    <mergeCell ref="B19:E19"/>
    <mergeCell ref="H19:J19"/>
    <mergeCell ref="B14:E14"/>
    <mergeCell ref="H14:J14"/>
    <mergeCell ref="B15:E15"/>
    <mergeCell ref="H15:J15"/>
    <mergeCell ref="B16:E16"/>
    <mergeCell ref="H16:J16"/>
    <mergeCell ref="A7:G7"/>
    <mergeCell ref="A8:G8"/>
    <mergeCell ref="A9:G9"/>
    <mergeCell ref="A10:G10"/>
    <mergeCell ref="H12:J12"/>
    <mergeCell ref="B13:E13"/>
    <mergeCell ref="H13:J13"/>
  </mergeCells>
  <pageMargins left="0.51181102362204722" right="0.31496062992125984" top="0.74803149606299213" bottom="0.74803149606299213" header="0.31496062992125984" footer="0.31496062992125984"/>
  <pageSetup paperSize="9" scale="7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86"/>
  <sheetViews>
    <sheetView showZeros="0" topLeftCell="A7" workbookViewId="0">
      <selection activeCell="F19" sqref="F19"/>
    </sheetView>
  </sheetViews>
  <sheetFormatPr defaultColWidth="8.90625" defaultRowHeight="15"/>
  <cols>
    <col min="1" max="1" width="8.90625" style="312"/>
    <col min="2" max="2" width="24.453125" style="312" customWidth="1"/>
    <col min="3" max="3" width="11.08984375" style="312" customWidth="1"/>
    <col min="4" max="4" width="15.54296875" style="312" customWidth="1"/>
    <col min="5" max="5" width="9.81640625" style="312" customWidth="1"/>
    <col min="6" max="6" width="13.6328125" style="312" customWidth="1"/>
    <col min="7" max="7" width="9.81640625" style="312" customWidth="1"/>
    <col min="8" max="8" width="10" style="312" customWidth="1"/>
    <col min="9" max="9" width="10.1796875" style="312" customWidth="1"/>
    <col min="10" max="10" width="8.36328125" style="312" bestFit="1" customWidth="1"/>
    <col min="11" max="11" width="10" style="312" customWidth="1"/>
    <col min="12" max="14" width="8.90625" style="312"/>
    <col min="15" max="15" width="10.54296875" style="312" customWidth="1"/>
    <col min="16" max="20" width="8.90625" style="312"/>
    <col min="21" max="21" width="8.36328125" style="312" bestFit="1" customWidth="1"/>
    <col min="22" max="22" width="12.08984375" style="312" customWidth="1"/>
    <col min="23" max="23" width="41.90625" style="312" customWidth="1"/>
    <col min="24" max="24" width="8.81640625" style="312" customWidth="1"/>
    <col min="25" max="26" width="9.08984375" style="312" customWidth="1"/>
    <col min="27" max="27" width="9.1796875" style="312" customWidth="1"/>
    <col min="28" max="28" width="10.1796875" style="312" customWidth="1"/>
    <col min="29" max="29" width="8.1796875" style="312" customWidth="1"/>
    <col min="30" max="30" width="7.90625" style="312" customWidth="1"/>
    <col min="31" max="31" width="8.08984375" style="312" customWidth="1"/>
    <col min="32" max="32" width="8.1796875" style="312" customWidth="1"/>
    <col min="33" max="33" width="8" style="312" customWidth="1"/>
    <col min="34" max="35" width="7.90625" style="312" customWidth="1"/>
    <col min="36" max="36" width="8.81640625" style="312" customWidth="1"/>
    <col min="37" max="37" width="9.453125" style="312" customWidth="1"/>
    <col min="38" max="38" width="8.1796875" style="312" customWidth="1"/>
    <col min="39" max="39" width="8.36328125" style="312" customWidth="1"/>
    <col min="40" max="40" width="9.54296875" style="312" customWidth="1"/>
    <col min="41" max="41" width="8.54296875" style="312" customWidth="1"/>
    <col min="42" max="42" width="8.81640625" style="312" customWidth="1"/>
    <col min="43" max="43" width="9" style="312" customWidth="1"/>
    <col min="44" max="44" width="8.36328125" style="312" customWidth="1"/>
    <col min="45" max="46" width="8.81640625" style="312" customWidth="1"/>
    <col min="47" max="48" width="10.36328125" style="312" customWidth="1"/>
    <col min="49" max="49" width="12.36328125" style="312" customWidth="1"/>
    <col min="50" max="50" width="11.453125" style="312" customWidth="1"/>
    <col min="51" max="51" width="9.08984375" style="312" customWidth="1"/>
    <col min="52" max="52" width="14.36328125" style="312" customWidth="1"/>
    <col min="53" max="53" width="11.54296875" style="312" customWidth="1"/>
    <col min="54" max="16384" width="8.90625" style="312"/>
  </cols>
  <sheetData>
    <row r="1" spans="1:87" ht="20.100000000000001" customHeight="1">
      <c r="A1" s="311"/>
      <c r="V1" s="313"/>
      <c r="W1" s="314" t="str">
        <f>capcost!E1</f>
        <v>S T E E L   A U T H O R I T Y   OF   I N D I A    L I M I T E D</v>
      </c>
      <c r="X1" s="313"/>
      <c r="Y1" s="313"/>
      <c r="Z1" s="313"/>
      <c r="AA1" s="313"/>
      <c r="AB1" s="315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6" t="s">
        <v>308</v>
      </c>
      <c r="AU1" s="313"/>
      <c r="AV1" s="313"/>
      <c r="AY1" s="311"/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1"/>
      <c r="BT1" s="311"/>
      <c r="BU1" s="311"/>
      <c r="BV1" s="311"/>
      <c r="BW1" s="311"/>
      <c r="BX1" s="311"/>
      <c r="BY1" s="311"/>
      <c r="BZ1" s="311"/>
      <c r="CA1" s="311"/>
      <c r="CB1" s="311"/>
      <c r="CC1" s="311"/>
      <c r="CD1" s="311"/>
      <c r="CE1" s="311"/>
      <c r="CF1" s="311"/>
      <c r="CG1" s="311"/>
      <c r="CH1" s="311"/>
      <c r="CI1" s="311"/>
    </row>
    <row r="2" spans="1:87" ht="20.100000000000001" customHeight="1">
      <c r="B2" s="317" t="s">
        <v>309</v>
      </c>
      <c r="H2" s="311"/>
      <c r="V2" s="313"/>
      <c r="W2" s="318" t="str">
        <f>capcost!E2</f>
        <v>IISCO STEEL PLANT</v>
      </c>
      <c r="X2" s="313"/>
      <c r="Y2" s="313"/>
      <c r="Z2" s="313"/>
      <c r="AA2" s="313"/>
      <c r="AB2" s="313"/>
      <c r="AC2" s="313"/>
      <c r="AD2" s="313"/>
      <c r="AE2" s="313"/>
      <c r="AF2" s="313"/>
      <c r="AG2" s="313"/>
      <c r="AH2" s="313"/>
      <c r="AI2" s="313"/>
      <c r="AJ2" s="313"/>
      <c r="AK2" s="313"/>
      <c r="AL2" s="313"/>
      <c r="AM2" s="313"/>
      <c r="AN2" s="313"/>
      <c r="AO2" s="313"/>
      <c r="AP2" s="313"/>
      <c r="AQ2" s="313"/>
      <c r="AR2" s="313"/>
      <c r="AS2" s="313"/>
      <c r="AT2" s="313"/>
      <c r="AU2" s="313"/>
      <c r="AV2" s="313"/>
      <c r="AY2" s="319"/>
      <c r="AZ2" s="306"/>
      <c r="BA2" s="320"/>
      <c r="BB2" s="320"/>
      <c r="BC2" s="320"/>
      <c r="BD2" s="320"/>
      <c r="BE2" s="320"/>
      <c r="BF2" s="320"/>
      <c r="BG2" s="320"/>
      <c r="BH2" s="320"/>
      <c r="BI2" s="311"/>
      <c r="BJ2" s="311"/>
      <c r="BK2" s="311"/>
      <c r="BL2" s="311"/>
      <c r="BM2" s="311"/>
      <c r="BN2" s="311"/>
      <c r="BO2" s="311"/>
      <c r="BP2" s="311"/>
      <c r="BQ2" s="311"/>
      <c r="BR2" s="311"/>
      <c r="BS2" s="311"/>
      <c r="BT2" s="311"/>
      <c r="BU2" s="311"/>
      <c r="BV2" s="311"/>
      <c r="BW2" s="311"/>
      <c r="BX2" s="311"/>
      <c r="BY2" s="311"/>
      <c r="BZ2" s="311"/>
      <c r="CA2" s="311"/>
      <c r="CB2" s="311"/>
      <c r="CC2" s="311"/>
      <c r="CD2" s="311"/>
      <c r="CE2" s="311"/>
      <c r="CF2" s="311"/>
      <c r="CG2" s="311"/>
      <c r="CH2" s="311"/>
      <c r="CI2" s="311"/>
    </row>
    <row r="3" spans="1:87" ht="20.100000000000001" customHeight="1">
      <c r="A3" s="311"/>
      <c r="B3" s="321" t="s">
        <v>14</v>
      </c>
      <c r="C3" s="321" t="s">
        <v>15</v>
      </c>
      <c r="D3" s="404" t="s">
        <v>248</v>
      </c>
      <c r="E3" s="322" t="s">
        <v>249</v>
      </c>
      <c r="F3" s="321" t="s">
        <v>8</v>
      </c>
      <c r="G3" s="322" t="s">
        <v>16</v>
      </c>
      <c r="H3" s="800" t="s">
        <v>250</v>
      </c>
      <c r="I3" s="800"/>
      <c r="N3" s="311"/>
      <c r="O3" s="311"/>
      <c r="P3" s="311"/>
      <c r="Q3" s="311"/>
      <c r="R3" s="311"/>
      <c r="S3" s="311"/>
      <c r="T3" s="311"/>
      <c r="V3" s="313"/>
      <c r="W3" s="323" t="str">
        <f>capcost!E3</f>
        <v>INSTALLATION OF FLARE STACK FOR COB-10, ISP</v>
      </c>
      <c r="X3" s="324"/>
      <c r="Y3" s="324"/>
      <c r="Z3" s="325" t="s">
        <v>310</v>
      </c>
      <c r="AA3" s="326"/>
      <c r="AC3" s="324"/>
      <c r="AD3" s="324"/>
      <c r="AE3" s="324"/>
      <c r="AF3" s="324"/>
      <c r="AG3" s="324"/>
      <c r="AH3" s="324"/>
      <c r="AI3" s="324"/>
      <c r="AJ3" s="324"/>
      <c r="AK3" s="324"/>
      <c r="AL3" s="324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Y3" s="320"/>
      <c r="AZ3" s="320"/>
      <c r="BA3" s="320"/>
      <c r="BB3" s="320"/>
      <c r="BC3" s="320"/>
      <c r="BD3" s="320"/>
      <c r="BE3" s="320"/>
      <c r="BF3" s="320"/>
      <c r="BG3" s="320"/>
      <c r="BH3" s="320"/>
      <c r="BI3" s="311"/>
      <c r="BJ3" s="311"/>
      <c r="BK3" s="311"/>
      <c r="BL3" s="311"/>
      <c r="BM3" s="311"/>
      <c r="BN3" s="311"/>
      <c r="BO3" s="311"/>
      <c r="BP3" s="311"/>
      <c r="BQ3" s="311"/>
      <c r="BR3" s="311"/>
      <c r="BS3" s="311"/>
      <c r="BT3" s="311"/>
      <c r="BU3" s="311"/>
      <c r="BV3" s="311"/>
      <c r="BW3" s="311"/>
      <c r="BX3" s="311"/>
      <c r="BY3" s="311"/>
      <c r="BZ3" s="311"/>
      <c r="CA3" s="311"/>
      <c r="CB3" s="311"/>
      <c r="CC3" s="311"/>
      <c r="CD3" s="311"/>
      <c r="CE3" s="311"/>
      <c r="CF3" s="311"/>
      <c r="CG3" s="311"/>
      <c r="CH3" s="311"/>
      <c r="CI3" s="311"/>
    </row>
    <row r="4" spans="1:87" ht="20.100000000000001" customHeight="1">
      <c r="A4" s="311"/>
      <c r="B4" s="327"/>
      <c r="C4" s="328" t="s">
        <v>18</v>
      </c>
      <c r="D4" s="507" t="s">
        <v>251</v>
      </c>
      <c r="E4" s="327" t="s">
        <v>252</v>
      </c>
      <c r="F4" s="508" t="s">
        <v>391</v>
      </c>
      <c r="G4" s="327" t="s">
        <v>20</v>
      </c>
      <c r="H4" s="328" t="s">
        <v>165</v>
      </c>
      <c r="I4" s="328" t="s">
        <v>19</v>
      </c>
      <c r="J4" s="329" t="s">
        <v>311</v>
      </c>
      <c r="K4" s="329" t="s">
        <v>312</v>
      </c>
      <c r="L4" s="311"/>
      <c r="M4" s="311"/>
      <c r="V4" s="313"/>
      <c r="W4" s="330" t="s">
        <v>253</v>
      </c>
      <c r="X4" s="324"/>
      <c r="Y4" s="324"/>
      <c r="Z4" s="324"/>
      <c r="AA4" s="331"/>
      <c r="AB4" s="324"/>
      <c r="AC4" s="324"/>
      <c r="AD4" s="324"/>
      <c r="AE4" s="324"/>
      <c r="AF4" s="324"/>
      <c r="AG4" s="324"/>
      <c r="AH4" s="324"/>
      <c r="AI4" s="313"/>
      <c r="AJ4" s="324"/>
      <c r="AK4" s="324"/>
      <c r="AL4" s="324"/>
      <c r="AO4" s="313"/>
      <c r="AP4" s="313"/>
      <c r="AQ4" s="332" t="s">
        <v>313</v>
      </c>
      <c r="AS4" s="313"/>
      <c r="AT4" s="313"/>
      <c r="AU4" s="313"/>
      <c r="AV4" s="313"/>
      <c r="AY4" s="320"/>
      <c r="AZ4" s="333"/>
      <c r="BA4" s="333"/>
      <c r="BB4" s="333"/>
      <c r="BC4" s="333"/>
      <c r="BD4" s="333"/>
      <c r="BE4" s="333"/>
      <c r="BF4" s="333"/>
      <c r="BG4" s="333"/>
      <c r="BH4" s="333"/>
      <c r="BI4" s="311"/>
      <c r="BJ4" s="311"/>
      <c r="BK4" s="311"/>
      <c r="BL4" s="311"/>
      <c r="BM4" s="311"/>
      <c r="BN4" s="311"/>
      <c r="BO4" s="311"/>
      <c r="BP4" s="311"/>
      <c r="BQ4" s="311"/>
      <c r="BR4" s="311"/>
      <c r="BS4" s="311"/>
      <c r="BT4" s="311"/>
      <c r="BU4" s="311"/>
      <c r="BV4" s="311"/>
      <c r="BW4" s="311"/>
      <c r="BX4" s="311"/>
      <c r="BY4" s="311"/>
      <c r="BZ4" s="311"/>
      <c r="CA4" s="311"/>
      <c r="CB4" s="311"/>
      <c r="CC4" s="311"/>
      <c r="CD4" s="311"/>
      <c r="CE4" s="311"/>
      <c r="CF4" s="311"/>
      <c r="CG4" s="311"/>
      <c r="CH4" s="311"/>
      <c r="CI4" s="311"/>
    </row>
    <row r="5" spans="1:87" ht="20.100000000000001" customHeight="1">
      <c r="A5" s="311"/>
      <c r="B5" s="334"/>
      <c r="C5" s="334"/>
      <c r="D5" s="334"/>
      <c r="E5" s="334"/>
      <c r="F5" s="334"/>
      <c r="G5" s="334"/>
      <c r="H5" s="334"/>
      <c r="I5" s="334"/>
      <c r="N5" s="335"/>
      <c r="O5" s="335"/>
      <c r="P5" s="335"/>
      <c r="Q5" s="335"/>
      <c r="R5" s="335"/>
      <c r="V5" s="313"/>
      <c r="W5" s="336" t="s">
        <v>254</v>
      </c>
      <c r="X5" s="455" t="s">
        <v>255</v>
      </c>
      <c r="Y5" s="455" t="s">
        <v>256</v>
      </c>
      <c r="Z5" s="455" t="s">
        <v>257</v>
      </c>
      <c r="AA5" s="455" t="s">
        <v>258</v>
      </c>
      <c r="AB5" s="337" t="s">
        <v>259</v>
      </c>
      <c r="AC5" s="337" t="s">
        <v>260</v>
      </c>
      <c r="AD5" s="337" t="s">
        <v>261</v>
      </c>
      <c r="AE5" s="337" t="s">
        <v>262</v>
      </c>
      <c r="AF5" s="337" t="s">
        <v>263</v>
      </c>
      <c r="AG5" s="337" t="s">
        <v>264</v>
      </c>
      <c r="AH5" s="337" t="s">
        <v>265</v>
      </c>
      <c r="AI5" s="337" t="s">
        <v>266</v>
      </c>
      <c r="AJ5" s="337" t="s">
        <v>267</v>
      </c>
      <c r="AK5" s="337" t="s">
        <v>268</v>
      </c>
      <c r="AL5" s="337" t="s">
        <v>269</v>
      </c>
      <c r="AM5" s="337" t="s">
        <v>270</v>
      </c>
      <c r="AN5" s="337" t="s">
        <v>271</v>
      </c>
      <c r="AO5" s="337" t="s">
        <v>272</v>
      </c>
      <c r="AP5" s="337" t="s">
        <v>273</v>
      </c>
      <c r="AQ5" s="337" t="s">
        <v>274</v>
      </c>
      <c r="AR5" s="337" t="s">
        <v>275</v>
      </c>
      <c r="AS5" s="337" t="s">
        <v>276</v>
      </c>
      <c r="AT5" s="337" t="s">
        <v>277</v>
      </c>
      <c r="AU5" s="338"/>
      <c r="AV5" s="338"/>
      <c r="AY5" s="320"/>
      <c r="AZ5" s="339" t="s">
        <v>314</v>
      </c>
      <c r="BA5" s="340"/>
      <c r="BB5" s="306"/>
      <c r="BC5" s="341"/>
      <c r="BD5" s="341"/>
      <c r="BE5" s="341"/>
      <c r="BF5" s="341"/>
      <c r="BG5" s="341"/>
      <c r="BH5" s="341"/>
      <c r="BI5" s="341"/>
      <c r="BJ5" s="341"/>
      <c r="BK5" s="342"/>
      <c r="BL5" s="342"/>
      <c r="BM5" s="342"/>
      <c r="BN5" s="342"/>
      <c r="BO5" s="342"/>
      <c r="BP5" s="342"/>
      <c r="BQ5" s="342"/>
      <c r="BR5" s="342"/>
      <c r="BS5" s="342"/>
      <c r="BT5" s="342"/>
      <c r="BU5" s="311"/>
      <c r="BV5" s="311"/>
      <c r="BW5" s="311"/>
      <c r="BX5" s="311"/>
      <c r="BY5" s="311"/>
      <c r="BZ5" s="311"/>
      <c r="CA5" s="311"/>
      <c r="CB5" s="311"/>
      <c r="CC5" s="311"/>
      <c r="CD5" s="311"/>
      <c r="CE5" s="311"/>
      <c r="CF5" s="311"/>
      <c r="CG5" s="311"/>
      <c r="CH5" s="311"/>
      <c r="CI5" s="311"/>
    </row>
    <row r="6" spans="1:87" ht="20.100000000000001" customHeight="1">
      <c r="A6" s="304"/>
      <c r="B6" s="322"/>
      <c r="C6" s="343">
        <f>capcost!BJ1</f>
        <v>6.8364910457771728</v>
      </c>
      <c r="D6" s="335"/>
      <c r="E6" s="322"/>
      <c r="F6" s="322"/>
      <c r="G6" s="343"/>
      <c r="H6" s="343"/>
      <c r="I6" s="343"/>
      <c r="J6" s="335"/>
      <c r="K6" s="335"/>
      <c r="L6" s="335"/>
      <c r="M6" s="335"/>
      <c r="N6" s="335"/>
      <c r="O6" s="335"/>
      <c r="P6" s="335"/>
      <c r="Q6" s="335"/>
      <c r="R6" s="335"/>
      <c r="V6" s="313"/>
      <c r="W6" s="344" t="s">
        <v>278</v>
      </c>
      <c r="X6" s="345"/>
      <c r="Y6" s="307"/>
      <c r="Z6" s="307">
        <v>0.4</v>
      </c>
      <c r="AA6" s="307">
        <v>1</v>
      </c>
      <c r="AB6" s="307">
        <v>1</v>
      </c>
      <c r="AC6" s="307">
        <v>1</v>
      </c>
      <c r="AD6" s="307">
        <f>+$AC$6</f>
        <v>1</v>
      </c>
      <c r="AE6" s="307">
        <f t="shared" ref="AE6:AS6" si="0">+$AC$6</f>
        <v>1</v>
      </c>
      <c r="AF6" s="307">
        <f t="shared" si="0"/>
        <v>1</v>
      </c>
      <c r="AG6" s="307">
        <f t="shared" si="0"/>
        <v>1</v>
      </c>
      <c r="AH6" s="307">
        <f t="shared" si="0"/>
        <v>1</v>
      </c>
      <c r="AI6" s="307">
        <f t="shared" si="0"/>
        <v>1</v>
      </c>
      <c r="AJ6" s="307">
        <f t="shared" si="0"/>
        <v>1</v>
      </c>
      <c r="AK6" s="307">
        <f t="shared" si="0"/>
        <v>1</v>
      </c>
      <c r="AL6" s="307">
        <f t="shared" si="0"/>
        <v>1</v>
      </c>
      <c r="AM6" s="307">
        <f t="shared" si="0"/>
        <v>1</v>
      </c>
      <c r="AN6" s="307">
        <f t="shared" si="0"/>
        <v>1</v>
      </c>
      <c r="AO6" s="307">
        <f t="shared" si="0"/>
        <v>1</v>
      </c>
      <c r="AP6" s="307">
        <f t="shared" si="0"/>
        <v>1</v>
      </c>
      <c r="AQ6" s="307">
        <f t="shared" si="0"/>
        <v>1</v>
      </c>
      <c r="AR6" s="307">
        <f t="shared" si="0"/>
        <v>1</v>
      </c>
      <c r="AS6" s="307">
        <f t="shared" si="0"/>
        <v>1</v>
      </c>
      <c r="AT6" s="307">
        <f>+$AC$6/2</f>
        <v>0.5</v>
      </c>
      <c r="AU6" s="346"/>
      <c r="AV6" s="346"/>
      <c r="AY6" s="320"/>
      <c r="AZ6" s="339" t="s">
        <v>315</v>
      </c>
      <c r="BA6" s="347">
        <v>0.15</v>
      </c>
      <c r="BB6" s="341"/>
      <c r="BC6" s="341"/>
      <c r="BD6" s="341"/>
      <c r="BE6" s="341"/>
      <c r="BF6" s="341"/>
      <c r="BG6" s="341"/>
      <c r="BH6" s="341"/>
      <c r="BI6" s="341"/>
      <c r="BJ6" s="341"/>
      <c r="BK6" s="342"/>
      <c r="BL6" s="342"/>
      <c r="BM6" s="342"/>
      <c r="BN6" s="342"/>
      <c r="BO6" s="342"/>
      <c r="BP6" s="342"/>
      <c r="BQ6" s="342"/>
      <c r="BR6" s="342"/>
      <c r="BS6" s="342"/>
      <c r="BT6" s="342"/>
      <c r="BU6" s="311"/>
      <c r="BV6" s="311"/>
      <c r="BW6" s="311"/>
      <c r="BX6" s="311"/>
      <c r="BY6" s="311"/>
      <c r="BZ6" s="311"/>
      <c r="CA6" s="311"/>
      <c r="CB6" s="311"/>
      <c r="CC6" s="311"/>
      <c r="CD6" s="311"/>
      <c r="CE6" s="311"/>
      <c r="CF6" s="311"/>
      <c r="CG6" s="311"/>
      <c r="CH6" s="311"/>
      <c r="CI6" s="311"/>
    </row>
    <row r="7" spans="1:87" ht="20.100000000000001" customHeight="1">
      <c r="A7" s="304"/>
      <c r="B7" s="321" t="s">
        <v>316</v>
      </c>
      <c r="C7" s="343">
        <f>capcost!BJ10</f>
        <v>5.4691928366217386</v>
      </c>
      <c r="D7" s="322">
        <v>0</v>
      </c>
      <c r="E7" s="322">
        <f>capcost!BL10</f>
        <v>5.4691928366217386</v>
      </c>
      <c r="F7" s="343">
        <f>capcost!BM10</f>
        <v>0.27345964183108695</v>
      </c>
      <c r="G7" s="343">
        <f>D7+E7+F7</f>
        <v>5.7426524784528254</v>
      </c>
      <c r="H7" s="343">
        <f>D7</f>
        <v>0</v>
      </c>
      <c r="I7" s="343">
        <f>E7+F7</f>
        <v>5.7426524784528254</v>
      </c>
      <c r="J7" s="335"/>
      <c r="K7" s="335">
        <f>+J7+I7</f>
        <v>5.7426524784528254</v>
      </c>
      <c r="L7" s="335"/>
      <c r="M7" s="335"/>
      <c r="N7" s="335"/>
      <c r="O7" s="335"/>
      <c r="P7" s="335"/>
      <c r="Q7" s="335"/>
      <c r="R7" s="335"/>
      <c r="V7" s="313"/>
      <c r="W7" s="348" t="s">
        <v>317</v>
      </c>
      <c r="X7" s="348"/>
      <c r="Y7" s="349"/>
      <c r="Z7" s="349">
        <f>$D$14*Z6</f>
        <v>48.915950378014898</v>
      </c>
      <c r="AA7" s="349">
        <f t="shared" ref="AA7:AS7" si="1">$D$14*AA6</f>
        <v>122.28987594503724</v>
      </c>
      <c r="AB7" s="349">
        <f t="shared" si="1"/>
        <v>122.28987594503724</v>
      </c>
      <c r="AC7" s="349">
        <f t="shared" si="1"/>
        <v>122.28987594503724</v>
      </c>
      <c r="AD7" s="349">
        <f t="shared" si="1"/>
        <v>122.28987594503724</v>
      </c>
      <c r="AE7" s="349">
        <f t="shared" si="1"/>
        <v>122.28987594503724</v>
      </c>
      <c r="AF7" s="349">
        <f t="shared" si="1"/>
        <v>122.28987594503724</v>
      </c>
      <c r="AG7" s="349">
        <f t="shared" si="1"/>
        <v>122.28987594503724</v>
      </c>
      <c r="AH7" s="349">
        <f t="shared" si="1"/>
        <v>122.28987594503724</v>
      </c>
      <c r="AI7" s="349">
        <f t="shared" si="1"/>
        <v>122.28987594503724</v>
      </c>
      <c r="AJ7" s="349">
        <f t="shared" si="1"/>
        <v>122.28987594503724</v>
      </c>
      <c r="AK7" s="349">
        <f t="shared" si="1"/>
        <v>122.28987594503724</v>
      </c>
      <c r="AL7" s="349">
        <f t="shared" si="1"/>
        <v>122.28987594503724</v>
      </c>
      <c r="AM7" s="349">
        <f t="shared" si="1"/>
        <v>122.28987594503724</v>
      </c>
      <c r="AN7" s="349">
        <f t="shared" si="1"/>
        <v>122.28987594503724</v>
      </c>
      <c r="AO7" s="349">
        <f t="shared" si="1"/>
        <v>122.28987594503724</v>
      </c>
      <c r="AP7" s="349">
        <f t="shared" si="1"/>
        <v>122.28987594503724</v>
      </c>
      <c r="AQ7" s="349">
        <f t="shared" si="1"/>
        <v>122.28987594503724</v>
      </c>
      <c r="AR7" s="349">
        <f t="shared" si="1"/>
        <v>122.28987594503724</v>
      </c>
      <c r="AS7" s="349">
        <f t="shared" si="1"/>
        <v>122.28987594503724</v>
      </c>
      <c r="AT7" s="349">
        <f>$D$14*AT6</f>
        <v>61.144937972518619</v>
      </c>
      <c r="AU7" s="324"/>
      <c r="AV7" s="324"/>
      <c r="AY7" s="320"/>
      <c r="AZ7" s="350" t="s">
        <v>318</v>
      </c>
      <c r="BA7" s="350" t="s">
        <v>319</v>
      </c>
      <c r="BB7" s="350">
        <v>2</v>
      </c>
      <c r="BC7" s="350">
        <v>3</v>
      </c>
      <c r="BD7" s="350">
        <v>4</v>
      </c>
      <c r="BE7" s="350">
        <v>5</v>
      </c>
      <c r="BF7" s="350">
        <v>6</v>
      </c>
      <c r="BG7" s="350">
        <v>7</v>
      </c>
      <c r="BH7" s="350">
        <v>8</v>
      </c>
      <c r="BI7" s="350">
        <v>9</v>
      </c>
      <c r="BJ7" s="350">
        <v>10</v>
      </c>
      <c r="BK7" s="350">
        <v>11</v>
      </c>
      <c r="BL7" s="350">
        <v>12</v>
      </c>
      <c r="BM7" s="350">
        <v>13</v>
      </c>
      <c r="BN7" s="350">
        <v>14</v>
      </c>
      <c r="BO7" s="350">
        <v>15</v>
      </c>
      <c r="BP7" s="350">
        <v>16</v>
      </c>
      <c r="BQ7" s="350">
        <v>17</v>
      </c>
      <c r="BR7" s="350">
        <v>18</v>
      </c>
      <c r="BS7" s="350">
        <v>19</v>
      </c>
      <c r="BT7" s="351">
        <v>20</v>
      </c>
      <c r="BU7" s="311"/>
      <c r="BV7" s="311"/>
      <c r="BW7" s="311"/>
      <c r="BX7" s="311"/>
      <c r="BY7" s="311"/>
      <c r="BZ7" s="311"/>
      <c r="CA7" s="311"/>
      <c r="CB7" s="311"/>
      <c r="CC7" s="311"/>
      <c r="CD7" s="311"/>
      <c r="CE7" s="311"/>
      <c r="CF7" s="311"/>
      <c r="CG7" s="311"/>
      <c r="CH7" s="311"/>
      <c r="CI7" s="311"/>
    </row>
    <row r="8" spans="1:87" ht="20.100000000000001" customHeight="1">
      <c r="B8" s="321" t="s">
        <v>320</v>
      </c>
      <c r="C8" s="343">
        <f>capcost!BJ11</f>
        <v>0.68364910457771733</v>
      </c>
      <c r="D8" s="322">
        <v>0</v>
      </c>
      <c r="E8" s="322">
        <f>capcost!BL11</f>
        <v>0.68364910457771733</v>
      </c>
      <c r="F8" s="343">
        <f>capcost!BM11</f>
        <v>9.6850289815176627E-2</v>
      </c>
      <c r="G8" s="343">
        <f>D8+E8+F8</f>
        <v>0.78049939439289395</v>
      </c>
      <c r="H8" s="343">
        <f>D8</f>
        <v>0</v>
      </c>
      <c r="I8" s="343">
        <f>E8+F8</f>
        <v>0.78049939439289395</v>
      </c>
      <c r="J8" s="335">
        <v>0</v>
      </c>
      <c r="K8" s="335">
        <f>+J8+I8</f>
        <v>0.78049939439289395</v>
      </c>
      <c r="L8" s="335"/>
      <c r="M8" s="335"/>
      <c r="N8" s="335"/>
      <c r="O8" s="335"/>
      <c r="P8" s="335"/>
      <c r="Q8" s="335"/>
      <c r="R8" s="335"/>
      <c r="V8" s="313"/>
      <c r="W8" s="348" t="s">
        <v>321</v>
      </c>
      <c r="X8" s="348"/>
      <c r="Y8" s="349">
        <f>+Y30+Y31</f>
        <v>0</v>
      </c>
      <c r="Z8" s="349">
        <f t="shared" ref="Z8:AS8" si="2">+Z30+Z31</f>
        <v>0.36034004887117188</v>
      </c>
      <c r="AA8" s="349">
        <f t="shared" si="2"/>
        <v>0.72068009774234376</v>
      </c>
      <c r="AB8" s="349">
        <f t="shared" si="2"/>
        <v>0.72068009774234376</v>
      </c>
      <c r="AC8" s="349">
        <f t="shared" si="2"/>
        <v>0.64861208796810932</v>
      </c>
      <c r="AD8" s="349">
        <f t="shared" si="2"/>
        <v>0.57654407819387499</v>
      </c>
      <c r="AE8" s="349">
        <f t="shared" si="2"/>
        <v>0.50447606841964066</v>
      </c>
      <c r="AF8" s="349">
        <f t="shared" si="2"/>
        <v>0.43240805864540627</v>
      </c>
      <c r="AG8" s="349">
        <f t="shared" si="2"/>
        <v>0.36034004887117188</v>
      </c>
      <c r="AH8" s="349">
        <f t="shared" si="2"/>
        <v>0.28827203909693749</v>
      </c>
      <c r="AI8" s="349">
        <f t="shared" si="2"/>
        <v>0.21620402932270313</v>
      </c>
      <c r="AJ8" s="349">
        <f t="shared" si="2"/>
        <v>0.14413601954846875</v>
      </c>
      <c r="AK8" s="349">
        <f t="shared" si="2"/>
        <v>7.2068009774234373E-2</v>
      </c>
      <c r="AL8" s="349">
        <f t="shared" si="2"/>
        <v>0</v>
      </c>
      <c r="AM8" s="349">
        <f t="shared" si="2"/>
        <v>0</v>
      </c>
      <c r="AN8" s="349">
        <f t="shared" si="2"/>
        <v>0</v>
      </c>
      <c r="AO8" s="349">
        <f t="shared" si="2"/>
        <v>0</v>
      </c>
      <c r="AP8" s="349">
        <f t="shared" si="2"/>
        <v>0</v>
      </c>
      <c r="AQ8" s="349">
        <f t="shared" si="2"/>
        <v>0</v>
      </c>
      <c r="AR8" s="349">
        <f t="shared" si="2"/>
        <v>0</v>
      </c>
      <c r="AS8" s="349">
        <f t="shared" si="2"/>
        <v>0</v>
      </c>
      <c r="AT8" s="349">
        <f>+AT30+AT31</f>
        <v>0</v>
      </c>
      <c r="AU8" s="324"/>
      <c r="AV8" s="324" t="s">
        <v>322</v>
      </c>
      <c r="AY8" s="320"/>
      <c r="AZ8" s="339" t="s">
        <v>323</v>
      </c>
      <c r="BA8" s="333">
        <f>D17</f>
        <v>6.3644516466844303</v>
      </c>
      <c r="BB8" s="333">
        <f t="shared" ref="BB8:BT8" si="3">+BA10</f>
        <v>5.8871177731830979</v>
      </c>
      <c r="BC8" s="333">
        <f t="shared" si="3"/>
        <v>5.0040501072056331</v>
      </c>
      <c r="BD8" s="333">
        <f t="shared" si="3"/>
        <v>4.253442591124788</v>
      </c>
      <c r="BE8" s="333">
        <f t="shared" si="3"/>
        <v>3.6154262024560699</v>
      </c>
      <c r="BF8" s="333">
        <f t="shared" si="3"/>
        <v>3.0731122720876596</v>
      </c>
      <c r="BG8" s="333">
        <f t="shared" si="3"/>
        <v>2.6121454312745107</v>
      </c>
      <c r="BH8" s="333">
        <f t="shared" si="3"/>
        <v>2.2203236165833342</v>
      </c>
      <c r="BI8" s="333">
        <f t="shared" si="3"/>
        <v>1.8872750740958342</v>
      </c>
      <c r="BJ8" s="333">
        <f t="shared" si="3"/>
        <v>1.604183812981459</v>
      </c>
      <c r="BK8" s="333">
        <f t="shared" si="3"/>
        <v>1.3635562410342401</v>
      </c>
      <c r="BL8" s="333">
        <f t="shared" si="3"/>
        <v>1.159022804879104</v>
      </c>
      <c r="BM8" s="333">
        <f t="shared" si="3"/>
        <v>0.98516938414723842</v>
      </c>
      <c r="BN8" s="333">
        <f t="shared" si="3"/>
        <v>0.83739397652515268</v>
      </c>
      <c r="BO8" s="333">
        <f t="shared" si="3"/>
        <v>0.71178488004637974</v>
      </c>
      <c r="BP8" s="333">
        <f t="shared" si="3"/>
        <v>0.60501714803942275</v>
      </c>
      <c r="BQ8" s="333">
        <f t="shared" si="3"/>
        <v>0.51426457583350937</v>
      </c>
      <c r="BR8" s="333">
        <f t="shared" si="3"/>
        <v>0.43712488945848299</v>
      </c>
      <c r="BS8" s="333">
        <f t="shared" si="3"/>
        <v>0.37155615603971054</v>
      </c>
      <c r="BT8" s="333">
        <f t="shared" si="3"/>
        <v>0.31822258233422179</v>
      </c>
      <c r="BU8" s="311"/>
      <c r="BV8" s="311"/>
      <c r="BW8" s="311"/>
      <c r="BX8" s="311"/>
      <c r="BY8" s="311"/>
      <c r="BZ8" s="311"/>
      <c r="CA8" s="311"/>
      <c r="CB8" s="311"/>
      <c r="CC8" s="311"/>
      <c r="CD8" s="311"/>
      <c r="CE8" s="311"/>
      <c r="CF8" s="311"/>
      <c r="CG8" s="311"/>
      <c r="CH8" s="311"/>
      <c r="CI8" s="311"/>
    </row>
    <row r="9" spans="1:87" ht="20.100000000000001" customHeight="1">
      <c r="B9" s="352" t="s">
        <v>324</v>
      </c>
      <c r="C9" s="343">
        <f>capcost!BJ12</f>
        <v>0</v>
      </c>
      <c r="D9" s="322">
        <v>0</v>
      </c>
      <c r="E9" s="322">
        <f>capcost!BL12</f>
        <v>0</v>
      </c>
      <c r="F9" s="343">
        <f>capcost!BM12</f>
        <v>0</v>
      </c>
      <c r="G9" s="343">
        <f>D9+E9+F9</f>
        <v>0</v>
      </c>
      <c r="H9" s="343">
        <f>D9</f>
        <v>0</v>
      </c>
      <c r="I9" s="343">
        <f>E9+F9</f>
        <v>0</v>
      </c>
      <c r="K9" s="335">
        <f>+J9+I9</f>
        <v>0</v>
      </c>
      <c r="L9" s="335"/>
      <c r="M9" s="335"/>
      <c r="N9" s="335"/>
      <c r="O9" s="335"/>
      <c r="P9" s="335"/>
      <c r="Q9" s="335"/>
      <c r="R9" s="335"/>
      <c r="V9" s="313"/>
      <c r="W9" s="348" t="s">
        <v>325</v>
      </c>
      <c r="X9" s="348"/>
      <c r="Y9" s="353"/>
      <c r="Z9" s="353">
        <f t="shared" ref="Z9:AT9" si="4">BA9</f>
        <v>0.47733387350133227</v>
      </c>
      <c r="AA9" s="353">
        <f t="shared" si="4"/>
        <v>0.88306766597746467</v>
      </c>
      <c r="AB9" s="353">
        <f t="shared" si="4"/>
        <v>0.75060751608084497</v>
      </c>
      <c r="AC9" s="353">
        <f t="shared" si="4"/>
        <v>0.63801638866871813</v>
      </c>
      <c r="AD9" s="353">
        <f t="shared" si="4"/>
        <v>0.54231393036841047</v>
      </c>
      <c r="AE9" s="353">
        <f t="shared" si="4"/>
        <v>0.46096684081314893</v>
      </c>
      <c r="AF9" s="353">
        <f t="shared" si="4"/>
        <v>0.39182181469117661</v>
      </c>
      <c r="AG9" s="353">
        <f t="shared" si="4"/>
        <v>0.3330485424875001</v>
      </c>
      <c r="AH9" s="353">
        <f t="shared" si="4"/>
        <v>0.2830912611143751</v>
      </c>
      <c r="AI9" s="353">
        <f t="shared" si="4"/>
        <v>0.24062757194721884</v>
      </c>
      <c r="AJ9" s="353">
        <f t="shared" si="4"/>
        <v>0.204533436155136</v>
      </c>
      <c r="AK9" s="353">
        <f t="shared" si="4"/>
        <v>0.1738534207318656</v>
      </c>
      <c r="AL9" s="353">
        <f t="shared" si="4"/>
        <v>0.14777540762208577</v>
      </c>
      <c r="AM9" s="353">
        <f t="shared" si="4"/>
        <v>0.12560909647877289</v>
      </c>
      <c r="AN9" s="353">
        <f t="shared" si="4"/>
        <v>0.10676773200695695</v>
      </c>
      <c r="AO9" s="353">
        <f t="shared" si="4"/>
        <v>9.0752572205913415E-2</v>
      </c>
      <c r="AP9" s="353">
        <f t="shared" si="4"/>
        <v>7.7139686375026398E-2</v>
      </c>
      <c r="AQ9" s="353">
        <f t="shared" si="4"/>
        <v>6.5568733418772451E-2</v>
      </c>
      <c r="AR9" s="353">
        <f t="shared" si="4"/>
        <v>5.3333573705488746E-2</v>
      </c>
      <c r="AS9" s="353">
        <f t="shared" si="4"/>
        <v>0</v>
      </c>
      <c r="AT9" s="353">
        <f t="shared" si="4"/>
        <v>0</v>
      </c>
      <c r="AU9" s="354">
        <f>SUM(X9:AS9)</f>
        <v>6.0462290643502081</v>
      </c>
      <c r="AV9" s="354">
        <f>+D17*0.95</f>
        <v>6.0462290643502081</v>
      </c>
      <c r="AY9" s="320"/>
      <c r="AZ9" s="339" t="s">
        <v>220</v>
      </c>
      <c r="BA9" s="333">
        <f>+BA8*$BA$6*0.5</f>
        <v>0.47733387350133227</v>
      </c>
      <c r="BB9" s="333">
        <f t="shared" ref="BB9:BR9" si="5">+BB8*$BA$6</f>
        <v>0.88306766597746467</v>
      </c>
      <c r="BC9" s="333">
        <f t="shared" si="5"/>
        <v>0.75060751608084497</v>
      </c>
      <c r="BD9" s="333">
        <f t="shared" si="5"/>
        <v>0.63801638866871813</v>
      </c>
      <c r="BE9" s="333">
        <f t="shared" si="5"/>
        <v>0.54231393036841047</v>
      </c>
      <c r="BF9" s="333">
        <f t="shared" si="5"/>
        <v>0.46096684081314893</v>
      </c>
      <c r="BG9" s="333">
        <f t="shared" si="5"/>
        <v>0.39182181469117661</v>
      </c>
      <c r="BH9" s="333">
        <f t="shared" si="5"/>
        <v>0.3330485424875001</v>
      </c>
      <c r="BI9" s="333">
        <f t="shared" si="5"/>
        <v>0.2830912611143751</v>
      </c>
      <c r="BJ9" s="333">
        <f t="shared" si="5"/>
        <v>0.24062757194721884</v>
      </c>
      <c r="BK9" s="333">
        <f t="shared" si="5"/>
        <v>0.204533436155136</v>
      </c>
      <c r="BL9" s="333">
        <f t="shared" si="5"/>
        <v>0.1738534207318656</v>
      </c>
      <c r="BM9" s="333">
        <f t="shared" si="5"/>
        <v>0.14777540762208577</v>
      </c>
      <c r="BN9" s="333">
        <f t="shared" si="5"/>
        <v>0.12560909647877289</v>
      </c>
      <c r="BO9" s="333">
        <f t="shared" si="5"/>
        <v>0.10676773200695695</v>
      </c>
      <c r="BP9" s="333">
        <f t="shared" si="5"/>
        <v>9.0752572205913415E-2</v>
      </c>
      <c r="BQ9" s="333">
        <f t="shared" si="5"/>
        <v>7.7139686375026398E-2</v>
      </c>
      <c r="BR9" s="333">
        <f t="shared" si="5"/>
        <v>6.5568733418772451E-2</v>
      </c>
      <c r="BS9" s="333">
        <f>$BA$8*0.95-SUM($BA$9:BR9)</f>
        <v>5.3333573705488746E-2</v>
      </c>
      <c r="BT9" s="333">
        <f>$BA$8*0.95-SUM($BA$9:BS9)</f>
        <v>0</v>
      </c>
      <c r="BU9" s="311"/>
      <c r="BV9" s="311"/>
      <c r="BW9" s="311"/>
      <c r="BX9" s="311"/>
      <c r="BY9" s="311"/>
      <c r="BZ9" s="311"/>
      <c r="CA9" s="311"/>
      <c r="CB9" s="311"/>
      <c r="CC9" s="311"/>
      <c r="CD9" s="311"/>
      <c r="CE9" s="311"/>
      <c r="CF9" s="311"/>
      <c r="CG9" s="311"/>
      <c r="CH9" s="311"/>
      <c r="CI9" s="311"/>
    </row>
    <row r="10" spans="1:87" ht="20.100000000000001" customHeight="1">
      <c r="B10" s="321" t="s">
        <v>326</v>
      </c>
      <c r="C10" s="343">
        <f>capcost!BJ13</f>
        <v>0.68364910457771733</v>
      </c>
      <c r="D10" s="322">
        <v>0</v>
      </c>
      <c r="E10" s="322">
        <f>capcost!BL13</f>
        <v>0.68364910457771733</v>
      </c>
      <c r="F10" s="343">
        <v>0</v>
      </c>
      <c r="G10" s="343">
        <f>D10+E10+F10</f>
        <v>0.68364910457771733</v>
      </c>
      <c r="H10" s="343">
        <f>D10</f>
        <v>0</v>
      </c>
      <c r="I10" s="343">
        <f>E10+F10</f>
        <v>0.68364910457771733</v>
      </c>
      <c r="J10" s="335"/>
      <c r="K10" s="335">
        <f>+J10+I10</f>
        <v>0.68364910457771733</v>
      </c>
      <c r="L10" s="322"/>
      <c r="M10" s="335">
        <f>+K11+H11</f>
        <v>7.2068009774234367</v>
      </c>
      <c r="N10" s="334"/>
      <c r="O10" s="334"/>
      <c r="P10" s="334"/>
      <c r="Q10" s="334"/>
      <c r="R10" s="334"/>
      <c r="S10" s="334"/>
      <c r="T10" s="334"/>
      <c r="V10" s="313"/>
      <c r="W10" s="348" t="s">
        <v>279</v>
      </c>
      <c r="X10" s="348"/>
      <c r="Y10" s="355">
        <f>+Y7-Y8-Y9</f>
        <v>0</v>
      </c>
      <c r="Z10" s="355">
        <f t="shared" ref="Z10:AS10" si="6">+Z7-Z8-Z9</f>
        <v>48.078276455642396</v>
      </c>
      <c r="AA10" s="355">
        <f t="shared" si="6"/>
        <v>120.68612818131743</v>
      </c>
      <c r="AB10" s="355">
        <f t="shared" si="6"/>
        <v>120.81858833121404</v>
      </c>
      <c r="AC10" s="355">
        <f t="shared" si="6"/>
        <v>121.00324746840042</v>
      </c>
      <c r="AD10" s="355">
        <f t="shared" si="6"/>
        <v>121.17101793647495</v>
      </c>
      <c r="AE10" s="355">
        <f t="shared" si="6"/>
        <v>121.32443303580446</v>
      </c>
      <c r="AF10" s="355">
        <f t="shared" si="6"/>
        <v>121.46564607170066</v>
      </c>
      <c r="AG10" s="355">
        <f t="shared" si="6"/>
        <v>121.59648735367857</v>
      </c>
      <c r="AH10" s="355">
        <f t="shared" si="6"/>
        <v>121.71851264482592</v>
      </c>
      <c r="AI10" s="355">
        <f t="shared" si="6"/>
        <v>121.83304434376733</v>
      </c>
      <c r="AJ10" s="355">
        <f t="shared" si="6"/>
        <v>121.94120648933364</v>
      </c>
      <c r="AK10" s="355">
        <f t="shared" si="6"/>
        <v>122.04395451453115</v>
      </c>
      <c r="AL10" s="355">
        <f t="shared" si="6"/>
        <v>122.14210053741515</v>
      </c>
      <c r="AM10" s="355">
        <f t="shared" si="6"/>
        <v>122.16426684855847</v>
      </c>
      <c r="AN10" s="355">
        <f t="shared" si="6"/>
        <v>122.18310821303028</v>
      </c>
      <c r="AO10" s="355">
        <f t="shared" si="6"/>
        <v>122.19912337283132</v>
      </c>
      <c r="AP10" s="355">
        <f t="shared" si="6"/>
        <v>122.21273625866222</v>
      </c>
      <c r="AQ10" s="355">
        <f t="shared" si="6"/>
        <v>122.22430721161847</v>
      </c>
      <c r="AR10" s="355">
        <f t="shared" si="6"/>
        <v>122.23654237133175</v>
      </c>
      <c r="AS10" s="355">
        <f t="shared" si="6"/>
        <v>122.28987594503724</v>
      </c>
      <c r="AT10" s="355">
        <f>+AT7-AT8-AT9</f>
        <v>61.144937972518619</v>
      </c>
      <c r="AU10" s="354"/>
      <c r="AV10" s="354"/>
      <c r="AY10" s="320"/>
      <c r="AZ10" s="339" t="s">
        <v>327</v>
      </c>
      <c r="BA10" s="333">
        <f t="shared" ref="BA10:BT10" si="7">+BA8-BA9</f>
        <v>5.8871177731830979</v>
      </c>
      <c r="BB10" s="333">
        <f t="shared" si="7"/>
        <v>5.0040501072056331</v>
      </c>
      <c r="BC10" s="333">
        <f t="shared" si="7"/>
        <v>4.253442591124788</v>
      </c>
      <c r="BD10" s="333">
        <f t="shared" si="7"/>
        <v>3.6154262024560699</v>
      </c>
      <c r="BE10" s="333">
        <f t="shared" si="7"/>
        <v>3.0731122720876596</v>
      </c>
      <c r="BF10" s="333">
        <f t="shared" si="7"/>
        <v>2.6121454312745107</v>
      </c>
      <c r="BG10" s="333">
        <f t="shared" si="7"/>
        <v>2.2203236165833342</v>
      </c>
      <c r="BH10" s="333">
        <f t="shared" si="7"/>
        <v>1.8872750740958342</v>
      </c>
      <c r="BI10" s="333">
        <f t="shared" si="7"/>
        <v>1.604183812981459</v>
      </c>
      <c r="BJ10" s="333">
        <f t="shared" si="7"/>
        <v>1.3635562410342401</v>
      </c>
      <c r="BK10" s="333">
        <f t="shared" si="7"/>
        <v>1.159022804879104</v>
      </c>
      <c r="BL10" s="333">
        <f t="shared" si="7"/>
        <v>0.98516938414723842</v>
      </c>
      <c r="BM10" s="333">
        <f t="shared" si="7"/>
        <v>0.83739397652515268</v>
      </c>
      <c r="BN10" s="333">
        <f t="shared" si="7"/>
        <v>0.71178488004637974</v>
      </c>
      <c r="BO10" s="333">
        <f t="shared" si="7"/>
        <v>0.60501714803942275</v>
      </c>
      <c r="BP10" s="333">
        <f t="shared" si="7"/>
        <v>0.51426457583350937</v>
      </c>
      <c r="BQ10" s="333">
        <f t="shared" si="7"/>
        <v>0.43712488945848299</v>
      </c>
      <c r="BR10" s="333">
        <f t="shared" si="7"/>
        <v>0.37155615603971054</v>
      </c>
      <c r="BS10" s="333">
        <f t="shared" si="7"/>
        <v>0.31822258233422179</v>
      </c>
      <c r="BT10" s="333">
        <f t="shared" si="7"/>
        <v>0.31822258233422179</v>
      </c>
      <c r="BU10" s="311"/>
      <c r="BV10" s="311"/>
      <c r="BW10" s="311"/>
      <c r="BX10" s="311"/>
      <c r="BY10" s="311"/>
      <c r="BZ10" s="311"/>
      <c r="CA10" s="311"/>
      <c r="CB10" s="311"/>
      <c r="CC10" s="311"/>
      <c r="CD10" s="311"/>
      <c r="CE10" s="311"/>
      <c r="CF10" s="311"/>
      <c r="CG10" s="311"/>
      <c r="CH10" s="311"/>
      <c r="CI10" s="311"/>
    </row>
    <row r="11" spans="1:87" ht="20.100000000000001" customHeight="1">
      <c r="B11" s="356" t="s">
        <v>5</v>
      </c>
      <c r="C11" s="356">
        <f t="shared" ref="C11:K11" si="8">SUM(C7:C10)</f>
        <v>6.8364910457771728</v>
      </c>
      <c r="D11" s="356">
        <f t="shared" si="8"/>
        <v>0</v>
      </c>
      <c r="E11" s="356">
        <f t="shared" si="8"/>
        <v>6.8364910457771728</v>
      </c>
      <c r="F11" s="356">
        <f t="shared" si="8"/>
        <v>0.37030993164626358</v>
      </c>
      <c r="G11" s="356">
        <f t="shared" si="8"/>
        <v>7.2068009774234367</v>
      </c>
      <c r="H11" s="356">
        <f t="shared" si="8"/>
        <v>0</v>
      </c>
      <c r="I11" s="356">
        <f t="shared" si="8"/>
        <v>7.2068009774234367</v>
      </c>
      <c r="J11" s="356">
        <f t="shared" si="8"/>
        <v>0</v>
      </c>
      <c r="K11" s="356">
        <f t="shared" si="8"/>
        <v>7.2068009774234367</v>
      </c>
      <c r="M11" s="322"/>
      <c r="N11" s="322"/>
      <c r="O11" s="322"/>
      <c r="P11" s="322"/>
      <c r="Q11" s="322"/>
      <c r="R11" s="322"/>
      <c r="S11" s="322"/>
      <c r="T11" s="322"/>
      <c r="U11" s="322"/>
      <c r="V11" s="357">
        <f>30*1.12*(1+capcost!BC62)%</f>
        <v>0.34943999999999997</v>
      </c>
      <c r="W11" s="348" t="s">
        <v>328</v>
      </c>
      <c r="X11" s="355"/>
      <c r="Y11" s="355">
        <f>IF(Y10&gt;0,Y10*$V$11,0)*$V$12</f>
        <v>0</v>
      </c>
      <c r="Z11" s="355">
        <f t="shared" ref="Z11:AS11" si="9">IF(Z10&gt;0,Z10*$V$11,0)*$V$12</f>
        <v>16.800472924659676</v>
      </c>
      <c r="AA11" s="355">
        <f t="shared" si="9"/>
        <v>42.172560631679559</v>
      </c>
      <c r="AB11" s="355">
        <f t="shared" si="9"/>
        <v>42.218847506459433</v>
      </c>
      <c r="AC11" s="355">
        <f t="shared" si="9"/>
        <v>42.283374795357837</v>
      </c>
      <c r="AD11" s="355">
        <f t="shared" si="9"/>
        <v>42.342000507721806</v>
      </c>
      <c r="AE11" s="355">
        <f t="shared" si="9"/>
        <v>42.395609880031508</v>
      </c>
      <c r="AF11" s="355">
        <f t="shared" si="9"/>
        <v>42.444955363295072</v>
      </c>
      <c r="AG11" s="355">
        <f t="shared" si="9"/>
        <v>42.490676540869437</v>
      </c>
      <c r="AH11" s="355">
        <f t="shared" si="9"/>
        <v>42.533317058607963</v>
      </c>
      <c r="AI11" s="355">
        <f t="shared" si="9"/>
        <v>42.573339015486049</v>
      </c>
      <c r="AJ11" s="355">
        <f t="shared" si="9"/>
        <v>42.611135195632741</v>
      </c>
      <c r="AK11" s="355">
        <f t="shared" si="9"/>
        <v>42.647039465557761</v>
      </c>
      <c r="AL11" s="355">
        <f t="shared" si="9"/>
        <v>42.681335611794346</v>
      </c>
      <c r="AM11" s="355">
        <f t="shared" si="9"/>
        <v>42.689081407560266</v>
      </c>
      <c r="AN11" s="355">
        <f t="shared" si="9"/>
        <v>42.695665333961301</v>
      </c>
      <c r="AO11" s="355">
        <f t="shared" si="9"/>
        <v>42.701261671402172</v>
      </c>
      <c r="AP11" s="355">
        <f t="shared" si="9"/>
        <v>42.706018558226923</v>
      </c>
      <c r="AQ11" s="355">
        <f t="shared" si="9"/>
        <v>42.710061912027953</v>
      </c>
      <c r="AR11" s="355">
        <f t="shared" si="9"/>
        <v>42.714337366238162</v>
      </c>
      <c r="AS11" s="355">
        <f t="shared" si="9"/>
        <v>42.732974250233809</v>
      </c>
      <c r="AT11" s="355">
        <f>IF(AT10&gt;0,AT10*$V$11,0)*$V$12</f>
        <v>21.366487125116905</v>
      </c>
      <c r="AU11" s="358"/>
      <c r="AV11" s="354">
        <f>AU9-AV9</f>
        <v>0</v>
      </c>
      <c r="AY11" s="320"/>
      <c r="AZ11" s="339"/>
      <c r="BA11" s="333"/>
      <c r="BB11" s="333"/>
      <c r="BC11" s="333"/>
      <c r="BD11" s="333"/>
      <c r="BE11" s="333"/>
      <c r="BF11" s="333"/>
      <c r="BG11" s="333"/>
      <c r="BH11" s="333"/>
      <c r="BI11" s="333"/>
      <c r="BJ11" s="333"/>
      <c r="BK11" s="359"/>
      <c r="BL11" s="359"/>
      <c r="BM11" s="359"/>
      <c r="BN11" s="359"/>
      <c r="BO11" s="359"/>
      <c r="BP11" s="342"/>
      <c r="BQ11" s="342"/>
      <c r="BR11" s="342"/>
      <c r="BS11" s="342"/>
      <c r="BT11" s="342"/>
      <c r="BU11" s="311"/>
      <c r="BV11" s="311"/>
      <c r="BW11" s="311"/>
      <c r="BX11" s="311"/>
      <c r="BY11" s="311"/>
      <c r="BZ11" s="311"/>
      <c r="CA11" s="311"/>
      <c r="CB11" s="311"/>
      <c r="CC11" s="311"/>
      <c r="CD11" s="311"/>
      <c r="CE11" s="311"/>
      <c r="CF11" s="311"/>
      <c r="CG11" s="311"/>
      <c r="CH11" s="311"/>
      <c r="CI11" s="311"/>
    </row>
    <row r="12" spans="1:87" ht="20.100000000000001" customHeight="1">
      <c r="A12" s="311"/>
      <c r="B12" s="360"/>
      <c r="C12" s="361"/>
      <c r="D12" s="361"/>
      <c r="E12" s="361"/>
      <c r="F12" s="361"/>
      <c r="G12" s="361"/>
      <c r="H12" s="361"/>
      <c r="I12" s="361"/>
      <c r="J12" s="362"/>
      <c r="K12" s="362"/>
      <c r="V12" s="313">
        <v>1</v>
      </c>
      <c r="W12" s="363"/>
      <c r="X12" s="348"/>
      <c r="Y12" s="355"/>
      <c r="Z12" s="355"/>
      <c r="AA12" s="355"/>
      <c r="AB12" s="355"/>
      <c r="AC12" s="355"/>
      <c r="AD12" s="355"/>
      <c r="AE12" s="355"/>
      <c r="AF12" s="355"/>
      <c r="AG12" s="355"/>
      <c r="AH12" s="355"/>
      <c r="AI12" s="355"/>
      <c r="AJ12" s="355"/>
      <c r="AK12" s="355"/>
      <c r="AL12" s="355"/>
      <c r="AM12" s="355"/>
      <c r="AN12" s="355"/>
      <c r="AO12" s="355"/>
      <c r="AP12" s="355"/>
      <c r="AQ12" s="355"/>
      <c r="AR12" s="355"/>
      <c r="AS12" s="355"/>
      <c r="AT12" s="355"/>
      <c r="AU12" s="354"/>
      <c r="AV12" s="354"/>
      <c r="AY12" s="320"/>
      <c r="AZ12" s="339" t="s">
        <v>329</v>
      </c>
      <c r="BA12" s="333">
        <f>D17*0.95</f>
        <v>6.0462290643502081</v>
      </c>
      <c r="BB12" s="333"/>
      <c r="BC12" s="333"/>
      <c r="BD12" s="341"/>
      <c r="BE12" s="341"/>
      <c r="BF12" s="341"/>
      <c r="BG12" s="333">
        <f>SUM(BA9:BT9)</f>
        <v>6.0462290643502081</v>
      </c>
      <c r="BH12" s="341"/>
      <c r="BI12" s="341"/>
      <c r="BJ12" s="341"/>
      <c r="BK12" s="342"/>
      <c r="BL12" s="342"/>
      <c r="BM12" s="342"/>
      <c r="BN12" s="342"/>
      <c r="BO12" s="342"/>
      <c r="BP12" s="342"/>
      <c r="BQ12" s="342"/>
      <c r="BR12" s="342"/>
      <c r="BS12" s="342"/>
      <c r="BT12" s="342"/>
      <c r="BU12" s="311"/>
      <c r="BV12" s="311"/>
      <c r="BW12" s="311"/>
      <c r="BX12" s="311"/>
      <c r="BY12" s="311"/>
      <c r="BZ12" s="311"/>
      <c r="CA12" s="311"/>
      <c r="CB12" s="311"/>
      <c r="CC12" s="311"/>
      <c r="CD12" s="311"/>
      <c r="CE12" s="311"/>
      <c r="CF12" s="311"/>
      <c r="CG12" s="311"/>
      <c r="CH12" s="311"/>
      <c r="CI12" s="311"/>
    </row>
    <row r="13" spans="1:87" ht="20.100000000000001" customHeight="1">
      <c r="B13" s="364" t="s">
        <v>330</v>
      </c>
      <c r="C13" s="364" t="s">
        <v>331</v>
      </c>
      <c r="D13" s="364">
        <f>302.5429607*0</f>
        <v>0</v>
      </c>
      <c r="V13" s="313"/>
      <c r="W13" s="348" t="s">
        <v>280</v>
      </c>
      <c r="X13" s="348"/>
      <c r="Y13" s="355">
        <f>+Y10-Y11</f>
        <v>0</v>
      </c>
      <c r="Z13" s="355">
        <f t="shared" ref="Z13:AS13" si="10">+Z10-Z11</f>
        <v>31.27780353098272</v>
      </c>
      <c r="AA13" s="355">
        <f t="shared" si="10"/>
        <v>78.51356754963787</v>
      </c>
      <c r="AB13" s="355">
        <f t="shared" si="10"/>
        <v>78.599740824754605</v>
      </c>
      <c r="AC13" s="355">
        <f t="shared" si="10"/>
        <v>78.719872673042573</v>
      </c>
      <c r="AD13" s="355">
        <f t="shared" si="10"/>
        <v>78.829017428753147</v>
      </c>
      <c r="AE13" s="355">
        <f t="shared" si="10"/>
        <v>78.92882315577296</v>
      </c>
      <c r="AF13" s="355">
        <f t="shared" si="10"/>
        <v>79.020690708405596</v>
      </c>
      <c r="AG13" s="355">
        <f t="shared" si="10"/>
        <v>79.105810812809125</v>
      </c>
      <c r="AH13" s="355">
        <f t="shared" si="10"/>
        <v>79.185195586217958</v>
      </c>
      <c r="AI13" s="355">
        <f t="shared" si="10"/>
        <v>79.259705328281285</v>
      </c>
      <c r="AJ13" s="355">
        <f t="shared" si="10"/>
        <v>79.330071293700897</v>
      </c>
      <c r="AK13" s="355">
        <f t="shared" si="10"/>
        <v>79.396915048973398</v>
      </c>
      <c r="AL13" s="355">
        <f t="shared" si="10"/>
        <v>79.460764925620794</v>
      </c>
      <c r="AM13" s="355">
        <f t="shared" si="10"/>
        <v>79.475185440998203</v>
      </c>
      <c r="AN13" s="355">
        <f t="shared" si="10"/>
        <v>79.487442879068979</v>
      </c>
      <c r="AO13" s="355">
        <f t="shared" si="10"/>
        <v>79.497861701429144</v>
      </c>
      <c r="AP13" s="355">
        <f t="shared" si="10"/>
        <v>79.506717700435303</v>
      </c>
      <c r="AQ13" s="355">
        <f t="shared" si="10"/>
        <v>79.514245299590513</v>
      </c>
      <c r="AR13" s="355">
        <f t="shared" si="10"/>
        <v>79.522205005093582</v>
      </c>
      <c r="AS13" s="355">
        <f t="shared" si="10"/>
        <v>79.556901694803429</v>
      </c>
      <c r="AT13" s="355">
        <f>+AT10-AT11</f>
        <v>39.778450847401714</v>
      </c>
      <c r="AU13" s="354"/>
      <c r="AV13" s="354"/>
      <c r="AY13" s="320"/>
      <c r="AZ13" s="333"/>
      <c r="BA13" s="333"/>
      <c r="BB13" s="333"/>
      <c r="BC13" s="333"/>
      <c r="BD13" s="333"/>
      <c r="BE13" s="333"/>
      <c r="BF13" s="333"/>
      <c r="BG13" s="333"/>
      <c r="BH13" s="333"/>
      <c r="BI13" s="342"/>
      <c r="BJ13" s="342"/>
      <c r="BK13" s="342"/>
      <c r="BL13" s="342"/>
      <c r="BM13" s="342"/>
      <c r="BN13" s="342"/>
      <c r="BO13" s="342"/>
      <c r="BP13" s="342"/>
      <c r="BQ13" s="342"/>
      <c r="BR13" s="342"/>
      <c r="BS13" s="342"/>
      <c r="BT13" s="342"/>
      <c r="BU13" s="311"/>
      <c r="BV13" s="311"/>
      <c r="BW13" s="311"/>
      <c r="BX13" s="311"/>
      <c r="BY13" s="311"/>
      <c r="BZ13" s="311"/>
      <c r="CA13" s="311"/>
      <c r="CB13" s="311"/>
      <c r="CC13" s="311"/>
      <c r="CD13" s="311"/>
      <c r="CE13" s="311"/>
      <c r="CF13" s="311"/>
      <c r="CG13" s="311"/>
      <c r="CH13" s="311"/>
      <c r="CI13" s="311"/>
    </row>
    <row r="14" spans="1:87" ht="20.100000000000001" customHeight="1">
      <c r="A14" s="311"/>
      <c r="B14" s="364" t="s">
        <v>215</v>
      </c>
      <c r="C14" s="364" t="s">
        <v>331</v>
      </c>
      <c r="D14" s="364">
        <f>GM!G27*Finan.summary!G22</f>
        <v>122.28987594503724</v>
      </c>
      <c r="E14" s="311"/>
      <c r="V14" s="313"/>
      <c r="W14" s="365" t="s">
        <v>281</v>
      </c>
      <c r="X14" s="365"/>
      <c r="Y14" s="366">
        <f>+Y13+X14</f>
        <v>0</v>
      </c>
      <c r="Z14" s="366">
        <f>+Z13+Y14</f>
        <v>31.27780353098272</v>
      </c>
      <c r="AA14" s="366">
        <f t="shared" ref="AA14:AT14" si="11">+AA13+Z14</f>
        <v>109.79137108062059</v>
      </c>
      <c r="AB14" s="366">
        <f t="shared" si="11"/>
        <v>188.3911119053752</v>
      </c>
      <c r="AC14" s="366">
        <f t="shared" si="11"/>
        <v>267.11098457841774</v>
      </c>
      <c r="AD14" s="366">
        <f t="shared" si="11"/>
        <v>345.9400020071709</v>
      </c>
      <c r="AE14" s="366">
        <f t="shared" si="11"/>
        <v>424.86882516294384</v>
      </c>
      <c r="AF14" s="366">
        <f t="shared" si="11"/>
        <v>503.88951587134943</v>
      </c>
      <c r="AG14" s="366">
        <f t="shared" si="11"/>
        <v>582.9953266841585</v>
      </c>
      <c r="AH14" s="366">
        <f t="shared" si="11"/>
        <v>662.18052227037651</v>
      </c>
      <c r="AI14" s="366">
        <f t="shared" si="11"/>
        <v>741.44022759865777</v>
      </c>
      <c r="AJ14" s="366">
        <f t="shared" si="11"/>
        <v>820.77029889235871</v>
      </c>
      <c r="AK14" s="366">
        <f t="shared" si="11"/>
        <v>900.16721394133208</v>
      </c>
      <c r="AL14" s="366">
        <f t="shared" si="11"/>
        <v>979.62797886695284</v>
      </c>
      <c r="AM14" s="366">
        <f t="shared" si="11"/>
        <v>1059.1031643079511</v>
      </c>
      <c r="AN14" s="366">
        <f t="shared" si="11"/>
        <v>1138.5906071870202</v>
      </c>
      <c r="AO14" s="366">
        <f t="shared" si="11"/>
        <v>1218.0884688884494</v>
      </c>
      <c r="AP14" s="366">
        <f t="shared" si="11"/>
        <v>1297.5951865888846</v>
      </c>
      <c r="AQ14" s="366">
        <f t="shared" si="11"/>
        <v>1377.1094318884752</v>
      </c>
      <c r="AR14" s="366">
        <f t="shared" si="11"/>
        <v>1456.6316368935688</v>
      </c>
      <c r="AS14" s="366">
        <f t="shared" si="11"/>
        <v>1536.1885385883722</v>
      </c>
      <c r="AT14" s="366">
        <f t="shared" si="11"/>
        <v>1575.9669894357739</v>
      </c>
      <c r="AU14" s="367"/>
      <c r="AV14" s="367"/>
      <c r="AY14" s="320"/>
      <c r="AZ14" s="333"/>
      <c r="BA14" s="333"/>
      <c r="BB14" s="333"/>
      <c r="BC14" s="333"/>
      <c r="BD14" s="333"/>
      <c r="BE14" s="333"/>
      <c r="BF14" s="333"/>
      <c r="BG14" s="333"/>
      <c r="BH14" s="333"/>
      <c r="BI14" s="311"/>
      <c r="BJ14" s="311"/>
      <c r="BK14" s="311"/>
      <c r="BL14" s="311"/>
      <c r="BM14" s="311"/>
      <c r="BN14" s="311"/>
      <c r="BO14" s="311"/>
      <c r="BP14" s="311"/>
      <c r="BQ14" s="311"/>
      <c r="BR14" s="311"/>
      <c r="BS14" s="311"/>
      <c r="BT14" s="311"/>
      <c r="BU14" s="311"/>
      <c r="BV14" s="311"/>
      <c r="BW14" s="311"/>
      <c r="BX14" s="311"/>
      <c r="BY14" s="311"/>
      <c r="BZ14" s="311"/>
      <c r="CA14" s="311"/>
      <c r="CB14" s="311"/>
      <c r="CC14" s="311"/>
      <c r="CD14" s="311"/>
      <c r="CE14" s="311"/>
      <c r="CF14" s="311"/>
      <c r="CG14" s="311"/>
      <c r="CH14" s="311"/>
      <c r="CI14" s="311"/>
    </row>
    <row r="15" spans="1:87" ht="20.100000000000001" customHeight="1">
      <c r="A15" s="311"/>
      <c r="B15" s="368" t="s">
        <v>332</v>
      </c>
      <c r="C15" s="368" t="s">
        <v>331</v>
      </c>
      <c r="D15" s="368">
        <f>capcost!AU24</f>
        <v>7.2068009774234367</v>
      </c>
      <c r="E15" s="311"/>
      <c r="V15" s="313"/>
      <c r="W15" s="369"/>
      <c r="X15" s="369"/>
      <c r="Y15" s="370"/>
      <c r="Z15" s="370"/>
      <c r="AA15" s="370"/>
      <c r="AB15" s="370"/>
      <c r="AC15" s="370"/>
      <c r="AD15" s="370"/>
      <c r="AE15" s="370"/>
      <c r="AF15" s="370"/>
      <c r="AG15" s="370"/>
      <c r="AH15" s="370"/>
      <c r="AI15" s="370"/>
      <c r="AJ15" s="370"/>
      <c r="AK15" s="370"/>
      <c r="AL15" s="370"/>
      <c r="AM15" s="370"/>
      <c r="AN15" s="370"/>
      <c r="AO15" s="370"/>
      <c r="AP15" s="370"/>
      <c r="AQ15" s="370"/>
      <c r="AR15" s="370"/>
      <c r="AS15" s="370"/>
      <c r="AT15" s="370"/>
      <c r="AU15" s="367"/>
      <c r="AV15" s="367"/>
      <c r="AY15" s="320"/>
      <c r="AZ15" s="333"/>
      <c r="BA15" s="333"/>
      <c r="BB15" s="333"/>
      <c r="BC15" s="333"/>
      <c r="BD15" s="333"/>
      <c r="BE15" s="333"/>
      <c r="BF15" s="333"/>
      <c r="BG15" s="333"/>
      <c r="BH15" s="333"/>
      <c r="BI15" s="311"/>
      <c r="BJ15" s="311"/>
      <c r="BK15" s="311"/>
      <c r="BL15" s="311"/>
      <c r="BM15" s="311"/>
      <c r="BN15" s="311"/>
      <c r="BO15" s="311"/>
      <c r="BP15" s="311"/>
      <c r="BQ15" s="311"/>
      <c r="BR15" s="311"/>
      <c r="BS15" s="311"/>
      <c r="BT15" s="311"/>
      <c r="BU15" s="311"/>
      <c r="BV15" s="311"/>
      <c r="BW15" s="311"/>
      <c r="BX15" s="311"/>
      <c r="BY15" s="311"/>
      <c r="BZ15" s="311"/>
      <c r="CA15" s="311"/>
      <c r="CB15" s="311"/>
      <c r="CC15" s="311"/>
      <c r="CD15" s="311"/>
      <c r="CE15" s="311"/>
      <c r="CF15" s="311"/>
      <c r="CG15" s="311"/>
      <c r="CH15" s="311"/>
      <c r="CI15" s="311"/>
    </row>
    <row r="16" spans="1:87" ht="20.100000000000001" customHeight="1">
      <c r="A16" s="311"/>
      <c r="B16" s="368" t="s">
        <v>392</v>
      </c>
      <c r="C16" s="368" t="s">
        <v>331</v>
      </c>
      <c r="D16" s="371">
        <f>capcost!AU25</f>
        <v>0.8423493307390062</v>
      </c>
      <c r="E16" s="311"/>
      <c r="V16" s="313"/>
      <c r="W16" s="369"/>
      <c r="X16" s="369"/>
      <c r="Y16" s="370"/>
      <c r="Z16" s="370"/>
      <c r="AA16" s="370"/>
      <c r="AB16" s="370"/>
      <c r="AC16" s="370"/>
      <c r="AD16" s="370"/>
      <c r="AE16" s="370"/>
      <c r="AF16" s="370"/>
      <c r="AG16" s="370"/>
      <c r="AH16" s="370"/>
      <c r="AI16" s="370"/>
      <c r="AJ16" s="370"/>
      <c r="AK16" s="370"/>
      <c r="AL16" s="370"/>
      <c r="AM16" s="370"/>
      <c r="AN16" s="370"/>
      <c r="AO16" s="370"/>
      <c r="AP16" s="370"/>
      <c r="AQ16" s="370"/>
      <c r="AR16" s="370"/>
      <c r="AS16" s="370"/>
      <c r="AT16" s="370"/>
      <c r="AU16" s="367"/>
      <c r="AV16" s="367"/>
      <c r="AY16" s="320"/>
      <c r="AZ16" s="333"/>
      <c r="BA16" s="333"/>
      <c r="BB16" s="333"/>
      <c r="BC16" s="333"/>
      <c r="BD16" s="333"/>
      <c r="BE16" s="333"/>
      <c r="BF16" s="333"/>
      <c r="BG16" s="333"/>
      <c r="BH16" s="333"/>
      <c r="BI16" s="311"/>
      <c r="BJ16" s="311"/>
      <c r="BK16" s="311"/>
      <c r="BL16" s="311"/>
      <c r="BM16" s="311"/>
      <c r="BN16" s="311"/>
      <c r="BO16" s="311"/>
      <c r="BP16" s="311"/>
      <c r="BQ16" s="311"/>
      <c r="BR16" s="311"/>
      <c r="BS16" s="311"/>
      <c r="BT16" s="311"/>
      <c r="BU16" s="311"/>
      <c r="BV16" s="311"/>
      <c r="BW16" s="311"/>
      <c r="BX16" s="311"/>
      <c r="BY16" s="311"/>
      <c r="BZ16" s="311"/>
      <c r="CA16" s="311"/>
      <c r="CB16" s="311"/>
      <c r="CC16" s="311"/>
      <c r="CD16" s="311"/>
      <c r="CE16" s="311"/>
      <c r="CF16" s="311"/>
      <c r="CG16" s="311"/>
      <c r="CH16" s="311"/>
      <c r="CI16" s="311"/>
    </row>
    <row r="17" spans="1:87" ht="20.100000000000001" customHeight="1">
      <c r="A17" s="311"/>
      <c r="B17" s="368" t="s">
        <v>393</v>
      </c>
      <c r="C17" s="368" t="s">
        <v>331</v>
      </c>
      <c r="D17" s="368">
        <f>capcost!AU26</f>
        <v>6.3644516466844303</v>
      </c>
      <c r="E17" s="311"/>
      <c r="V17" s="313"/>
      <c r="W17" s="363"/>
      <c r="X17" s="363"/>
      <c r="Y17" s="348"/>
      <c r="Z17" s="372" t="s">
        <v>333</v>
      </c>
      <c r="AB17" s="363"/>
      <c r="AC17" s="363"/>
      <c r="AD17" s="363"/>
      <c r="AE17" s="363"/>
      <c r="AF17" s="363"/>
      <c r="AG17" s="363"/>
      <c r="AH17" s="363"/>
      <c r="AI17" s="363"/>
      <c r="AJ17" s="363"/>
      <c r="AK17" s="363"/>
      <c r="AL17" s="363"/>
      <c r="AM17" s="363"/>
      <c r="AN17" s="363"/>
      <c r="AO17" s="363"/>
      <c r="AP17" s="363"/>
      <c r="AQ17" s="363"/>
      <c r="AR17" s="363"/>
      <c r="AS17" s="373"/>
      <c r="AT17" s="373"/>
      <c r="AU17" s="313"/>
      <c r="AV17" s="313"/>
      <c r="AY17" s="320"/>
      <c r="AZ17" s="333"/>
      <c r="BA17" s="333"/>
      <c r="BB17" s="333"/>
      <c r="BC17" s="333"/>
      <c r="BD17" s="333"/>
      <c r="BE17" s="333"/>
      <c r="BF17" s="320"/>
      <c r="BG17" s="320"/>
      <c r="BH17" s="320"/>
      <c r="BI17" s="311"/>
      <c r="BJ17" s="311"/>
      <c r="BK17" s="311"/>
      <c r="BL17" s="311"/>
      <c r="BM17" s="311"/>
      <c r="BN17" s="311"/>
      <c r="BO17" s="311"/>
      <c r="BP17" s="311"/>
      <c r="BQ17" s="311"/>
      <c r="BR17" s="311"/>
      <c r="BS17" s="311"/>
      <c r="BT17" s="311"/>
      <c r="BU17" s="311"/>
      <c r="BV17" s="311"/>
      <c r="BW17" s="311"/>
      <c r="BX17" s="311"/>
      <c r="BY17" s="311"/>
      <c r="BZ17" s="311"/>
      <c r="CA17" s="311"/>
      <c r="CB17" s="311"/>
      <c r="CC17" s="311"/>
      <c r="CD17" s="311"/>
      <c r="CE17" s="311"/>
      <c r="CF17" s="311"/>
      <c r="CG17" s="311"/>
      <c r="CH17" s="311"/>
      <c r="CI17" s="311"/>
    </row>
    <row r="18" spans="1:87" ht="20.100000000000001" customHeight="1">
      <c r="A18" s="311"/>
      <c r="B18" s="374" t="s">
        <v>334</v>
      </c>
      <c r="C18" s="368" t="s">
        <v>331</v>
      </c>
      <c r="D18" s="371">
        <v>0</v>
      </c>
      <c r="E18" s="311"/>
      <c r="V18" s="313"/>
      <c r="W18" s="375" t="s">
        <v>282</v>
      </c>
      <c r="X18" s="348"/>
      <c r="Y18" s="348"/>
      <c r="Z18" s="348"/>
      <c r="AA18" s="376"/>
      <c r="AB18" s="355"/>
      <c r="AC18" s="355"/>
      <c r="AD18" s="355"/>
      <c r="AE18" s="355"/>
      <c r="AF18" s="355"/>
      <c r="AG18" s="355"/>
      <c r="AH18" s="355"/>
      <c r="AI18" s="355"/>
      <c r="AJ18" s="355"/>
      <c r="AK18" s="355"/>
      <c r="AL18" s="355"/>
      <c r="AM18" s="377"/>
      <c r="AN18" s="377"/>
      <c r="AO18" s="377"/>
      <c r="AP18" s="377"/>
      <c r="AQ18" s="377"/>
      <c r="AR18" s="377"/>
      <c r="AS18" s="377"/>
      <c r="AT18" s="377"/>
      <c r="AU18" s="378"/>
      <c r="AV18" s="378"/>
      <c r="AY18" s="320"/>
      <c r="AZ18" s="333"/>
      <c r="BA18" s="333"/>
      <c r="BB18" s="333"/>
      <c r="BC18" s="333"/>
      <c r="BD18" s="333"/>
      <c r="BE18" s="333"/>
      <c r="BF18" s="333"/>
      <c r="BG18" s="333"/>
      <c r="BH18" s="333"/>
      <c r="BI18" s="311"/>
      <c r="BJ18" s="311"/>
      <c r="BK18" s="311"/>
      <c r="BL18" s="311"/>
      <c r="BM18" s="311"/>
      <c r="BN18" s="311"/>
      <c r="BO18" s="311"/>
      <c r="BP18" s="311"/>
      <c r="BQ18" s="311"/>
      <c r="BR18" s="311"/>
      <c r="BS18" s="311"/>
      <c r="BT18" s="311"/>
      <c r="BU18" s="311"/>
      <c r="BV18" s="311"/>
      <c r="BW18" s="311"/>
      <c r="BX18" s="311"/>
      <c r="BY18" s="311"/>
      <c r="BZ18" s="311"/>
      <c r="CA18" s="311"/>
      <c r="CB18" s="311"/>
      <c r="CC18" s="311"/>
      <c r="CD18" s="311"/>
      <c r="CE18" s="311"/>
      <c r="CF18" s="311"/>
      <c r="CG18" s="311"/>
      <c r="CH18" s="311"/>
      <c r="CI18" s="311"/>
    </row>
    <row r="19" spans="1:87" ht="20.100000000000001" customHeight="1">
      <c r="A19" s="311"/>
      <c r="B19" s="374" t="s">
        <v>335</v>
      </c>
      <c r="C19" s="368" t="s">
        <v>331</v>
      </c>
      <c r="D19" s="364">
        <v>0</v>
      </c>
      <c r="V19" s="313"/>
      <c r="W19" s="379" t="s">
        <v>336</v>
      </c>
      <c r="X19" s="380" t="str">
        <f t="shared" ref="X19:AS19" si="12">+X5</f>
        <v>Yr 1</v>
      </c>
      <c r="Y19" s="380" t="str">
        <f t="shared" si="12"/>
        <v>Yr 2</v>
      </c>
      <c r="Z19" s="380" t="str">
        <f t="shared" si="12"/>
        <v>Yr 3</v>
      </c>
      <c r="AA19" s="380" t="str">
        <f t="shared" si="12"/>
        <v>Yr 4</v>
      </c>
      <c r="AB19" s="380" t="str">
        <f t="shared" si="12"/>
        <v>Yr 5</v>
      </c>
      <c r="AC19" s="380" t="str">
        <f t="shared" si="12"/>
        <v>Yr 6</v>
      </c>
      <c r="AD19" s="380" t="str">
        <f t="shared" si="12"/>
        <v>Yr 7</v>
      </c>
      <c r="AE19" s="380" t="str">
        <f t="shared" si="12"/>
        <v>Yr 8</v>
      </c>
      <c r="AF19" s="380" t="str">
        <f t="shared" si="12"/>
        <v>Yr 9</v>
      </c>
      <c r="AG19" s="380" t="str">
        <f t="shared" si="12"/>
        <v>Yr 10</v>
      </c>
      <c r="AH19" s="380" t="str">
        <f t="shared" si="12"/>
        <v>Yr 11</v>
      </c>
      <c r="AI19" s="380" t="str">
        <f t="shared" si="12"/>
        <v>Yr 12</v>
      </c>
      <c r="AJ19" s="380" t="str">
        <f t="shared" si="12"/>
        <v>Yr 13</v>
      </c>
      <c r="AK19" s="380" t="str">
        <f t="shared" si="12"/>
        <v>Yr 14</v>
      </c>
      <c r="AL19" s="380" t="str">
        <f t="shared" si="12"/>
        <v>Yr 15</v>
      </c>
      <c r="AM19" s="380" t="str">
        <f t="shared" si="12"/>
        <v>Yr 16</v>
      </c>
      <c r="AN19" s="380" t="str">
        <f t="shared" si="12"/>
        <v>Yr 17</v>
      </c>
      <c r="AO19" s="380" t="str">
        <f t="shared" si="12"/>
        <v>Yr 18</v>
      </c>
      <c r="AP19" s="380" t="str">
        <f t="shared" si="12"/>
        <v>Yr 19</v>
      </c>
      <c r="AQ19" s="380" t="str">
        <f t="shared" si="12"/>
        <v>Yr 20</v>
      </c>
      <c r="AR19" s="380" t="str">
        <f t="shared" si="12"/>
        <v>Yr 21</v>
      </c>
      <c r="AS19" s="381" t="str">
        <f t="shared" si="12"/>
        <v>Yr 22</v>
      </c>
      <c r="AT19" s="381" t="str">
        <f>+AT5</f>
        <v>Yr 23</v>
      </c>
      <c r="AU19" s="382"/>
      <c r="AV19" s="382"/>
      <c r="AY19" s="311"/>
      <c r="AZ19" s="311"/>
      <c r="BA19" s="311"/>
      <c r="BB19" s="311"/>
      <c r="BC19" s="311"/>
      <c r="BD19" s="311"/>
      <c r="BE19" s="311"/>
      <c r="BF19" s="311"/>
      <c r="BG19" s="311"/>
      <c r="BH19" s="311"/>
      <c r="BI19" s="311"/>
      <c r="BJ19" s="311"/>
      <c r="BK19" s="311"/>
      <c r="BL19" s="311"/>
      <c r="BM19" s="311"/>
      <c r="BN19" s="311"/>
      <c r="BO19" s="311"/>
      <c r="BP19" s="311"/>
      <c r="BQ19" s="311"/>
      <c r="BR19" s="311"/>
      <c r="BS19" s="311"/>
      <c r="BT19" s="311"/>
      <c r="BU19" s="311"/>
      <c r="BV19" s="311"/>
      <c r="BW19" s="311"/>
      <c r="BX19" s="311"/>
      <c r="BY19" s="311"/>
      <c r="BZ19" s="311"/>
      <c r="CA19" s="311"/>
      <c r="CB19" s="311"/>
      <c r="CC19" s="311"/>
      <c r="CD19" s="311"/>
      <c r="CE19" s="311"/>
      <c r="CF19" s="311"/>
      <c r="CG19" s="311"/>
      <c r="CH19" s="311"/>
      <c r="CI19" s="311"/>
    </row>
    <row r="20" spans="1:87" ht="20.100000000000001" customHeight="1">
      <c r="A20" s="311"/>
      <c r="V20" s="313"/>
      <c r="W20" s="348" t="s">
        <v>283</v>
      </c>
      <c r="X20" s="348">
        <f>+X7</f>
        <v>0</v>
      </c>
      <c r="Y20" s="348">
        <f t="shared" ref="Y20:AS20" si="13">+Y7</f>
        <v>0</v>
      </c>
      <c r="Z20" s="348">
        <f t="shared" si="13"/>
        <v>48.915950378014898</v>
      </c>
      <c r="AA20" s="348">
        <f t="shared" si="13"/>
        <v>122.28987594503724</v>
      </c>
      <c r="AB20" s="348">
        <f t="shared" si="13"/>
        <v>122.28987594503724</v>
      </c>
      <c r="AC20" s="348">
        <f t="shared" si="13"/>
        <v>122.28987594503724</v>
      </c>
      <c r="AD20" s="348">
        <f t="shared" si="13"/>
        <v>122.28987594503724</v>
      </c>
      <c r="AE20" s="348">
        <f t="shared" si="13"/>
        <v>122.28987594503724</v>
      </c>
      <c r="AF20" s="348">
        <f t="shared" si="13"/>
        <v>122.28987594503724</v>
      </c>
      <c r="AG20" s="348">
        <f t="shared" si="13"/>
        <v>122.28987594503724</v>
      </c>
      <c r="AH20" s="348">
        <f t="shared" si="13"/>
        <v>122.28987594503724</v>
      </c>
      <c r="AI20" s="348">
        <f t="shared" si="13"/>
        <v>122.28987594503724</v>
      </c>
      <c r="AJ20" s="348">
        <f t="shared" si="13"/>
        <v>122.28987594503724</v>
      </c>
      <c r="AK20" s="348">
        <f t="shared" si="13"/>
        <v>122.28987594503724</v>
      </c>
      <c r="AL20" s="348">
        <f t="shared" si="13"/>
        <v>122.28987594503724</v>
      </c>
      <c r="AM20" s="348">
        <f t="shared" si="13"/>
        <v>122.28987594503724</v>
      </c>
      <c r="AN20" s="348">
        <f t="shared" si="13"/>
        <v>122.28987594503724</v>
      </c>
      <c r="AO20" s="348">
        <f t="shared" si="13"/>
        <v>122.28987594503724</v>
      </c>
      <c r="AP20" s="348">
        <f t="shared" si="13"/>
        <v>122.28987594503724</v>
      </c>
      <c r="AQ20" s="348">
        <f t="shared" si="13"/>
        <v>122.28987594503724</v>
      </c>
      <c r="AR20" s="348">
        <f t="shared" si="13"/>
        <v>122.28987594503724</v>
      </c>
      <c r="AS20" s="348">
        <f t="shared" si="13"/>
        <v>122.28987594503724</v>
      </c>
      <c r="AT20" s="348">
        <f>+AT7</f>
        <v>61.144937972518619</v>
      </c>
      <c r="AU20" s="324"/>
      <c r="AV20" s="324"/>
    </row>
    <row r="21" spans="1:87" ht="20.100000000000001" customHeight="1">
      <c r="A21" s="311"/>
      <c r="V21" s="378">
        <f>SUM(X21:AA21)</f>
        <v>0</v>
      </c>
      <c r="W21" s="348" t="s">
        <v>284</v>
      </c>
      <c r="X21" s="355">
        <f>H7</f>
        <v>0</v>
      </c>
      <c r="Y21" s="355">
        <f>H8</f>
        <v>0</v>
      </c>
      <c r="Z21" s="355">
        <f>H9+H10</f>
        <v>0</v>
      </c>
      <c r="AA21" s="355"/>
      <c r="AB21" s="355">
        <v>0</v>
      </c>
      <c r="AC21" s="355">
        <v>0</v>
      </c>
      <c r="AD21" s="355">
        <v>0</v>
      </c>
      <c r="AE21" s="355">
        <v>0</v>
      </c>
      <c r="AF21" s="355">
        <v>0</v>
      </c>
      <c r="AG21" s="355">
        <v>0</v>
      </c>
      <c r="AH21" s="355">
        <v>0</v>
      </c>
      <c r="AI21" s="355">
        <v>0</v>
      </c>
      <c r="AJ21" s="355">
        <v>0</v>
      </c>
      <c r="AK21" s="355">
        <v>0</v>
      </c>
      <c r="AL21" s="355">
        <v>0</v>
      </c>
      <c r="AM21" s="355">
        <v>0</v>
      </c>
      <c r="AN21" s="355">
        <v>0</v>
      </c>
      <c r="AO21" s="355">
        <v>0</v>
      </c>
      <c r="AP21" s="355">
        <v>0</v>
      </c>
      <c r="AQ21" s="355">
        <v>0</v>
      </c>
      <c r="AR21" s="355">
        <v>0</v>
      </c>
      <c r="AS21" s="355">
        <v>0</v>
      </c>
      <c r="AT21" s="355">
        <v>0</v>
      </c>
      <c r="AU21" s="354"/>
      <c r="AV21" s="354"/>
    </row>
    <row r="22" spans="1:87" ht="20.100000000000001" customHeight="1">
      <c r="A22" s="311"/>
      <c r="B22" s="311"/>
      <c r="C22" s="311"/>
      <c r="D22" s="311"/>
      <c r="E22" s="311"/>
      <c r="F22" s="311"/>
      <c r="G22" s="311"/>
      <c r="H22" s="311"/>
      <c r="I22" s="311"/>
      <c r="J22" s="311"/>
      <c r="K22" s="311"/>
      <c r="L22" s="311"/>
      <c r="M22" s="311"/>
      <c r="N22" s="311"/>
      <c r="V22" s="378">
        <f>SUM(X22:AA22)</f>
        <v>7.2068009774234367</v>
      </c>
      <c r="W22" s="348" t="s">
        <v>337</v>
      </c>
      <c r="X22" s="355">
        <f>I7</f>
        <v>5.7426524784528254</v>
      </c>
      <c r="Y22" s="355">
        <f>I8</f>
        <v>0.78049939439289395</v>
      </c>
      <c r="Z22" s="355">
        <f>I9+I10</f>
        <v>0.68364910457771733</v>
      </c>
      <c r="AA22" s="355"/>
      <c r="AB22" s="355">
        <v>0</v>
      </c>
      <c r="AC22" s="355">
        <v>0</v>
      </c>
      <c r="AD22" s="355">
        <v>0</v>
      </c>
      <c r="AE22" s="355">
        <v>0</v>
      </c>
      <c r="AF22" s="355">
        <v>0</v>
      </c>
      <c r="AG22" s="355">
        <v>0</v>
      </c>
      <c r="AH22" s="355">
        <v>0</v>
      </c>
      <c r="AI22" s="355">
        <v>0</v>
      </c>
      <c r="AJ22" s="355">
        <v>0</v>
      </c>
      <c r="AK22" s="355">
        <v>0</v>
      </c>
      <c r="AL22" s="355">
        <v>0</v>
      </c>
      <c r="AM22" s="355">
        <v>0</v>
      </c>
      <c r="AN22" s="355">
        <v>0</v>
      </c>
      <c r="AO22" s="355">
        <v>0</v>
      </c>
      <c r="AP22" s="355">
        <v>0</v>
      </c>
      <c r="AQ22" s="355">
        <v>0</v>
      </c>
      <c r="AR22" s="355">
        <v>0</v>
      </c>
      <c r="AS22" s="355">
        <v>0</v>
      </c>
      <c r="AT22" s="355">
        <v>0</v>
      </c>
      <c r="AU22" s="354"/>
      <c r="AV22" s="354"/>
    </row>
    <row r="23" spans="1:87" ht="20.100000000000001" customHeight="1">
      <c r="A23" s="311"/>
      <c r="B23" s="368"/>
      <c r="C23" s="383"/>
      <c r="D23" s="383"/>
      <c r="E23" s="383"/>
      <c r="F23" s="311"/>
      <c r="G23" s="311"/>
      <c r="H23" s="311"/>
      <c r="I23" s="311"/>
      <c r="J23" s="311"/>
      <c r="K23" s="311"/>
      <c r="L23" s="311"/>
      <c r="M23" s="311"/>
      <c r="N23" s="311"/>
      <c r="V23" s="384">
        <f>+V22+V21</f>
        <v>7.2068009774234367</v>
      </c>
      <c r="W23" s="344" t="s">
        <v>5</v>
      </c>
      <c r="X23" s="385">
        <f>SUM(X20:X22)</f>
        <v>5.7426524784528254</v>
      </c>
      <c r="Y23" s="385">
        <f t="shared" ref="Y23:AS23" si="14">SUM(Y20:Y22)</f>
        <v>0.78049939439289395</v>
      </c>
      <c r="Z23" s="385">
        <f t="shared" si="14"/>
        <v>49.599599482592616</v>
      </c>
      <c r="AA23" s="385">
        <f t="shared" si="14"/>
        <v>122.28987594503724</v>
      </c>
      <c r="AB23" s="385">
        <f t="shared" si="14"/>
        <v>122.28987594503724</v>
      </c>
      <c r="AC23" s="385">
        <f t="shared" si="14"/>
        <v>122.28987594503724</v>
      </c>
      <c r="AD23" s="385">
        <f t="shared" si="14"/>
        <v>122.28987594503724</v>
      </c>
      <c r="AE23" s="385">
        <f t="shared" si="14"/>
        <v>122.28987594503724</v>
      </c>
      <c r="AF23" s="385">
        <f t="shared" si="14"/>
        <v>122.28987594503724</v>
      </c>
      <c r="AG23" s="385">
        <f t="shared" si="14"/>
        <v>122.28987594503724</v>
      </c>
      <c r="AH23" s="385">
        <f t="shared" si="14"/>
        <v>122.28987594503724</v>
      </c>
      <c r="AI23" s="385">
        <f t="shared" si="14"/>
        <v>122.28987594503724</v>
      </c>
      <c r="AJ23" s="385">
        <f t="shared" si="14"/>
        <v>122.28987594503724</v>
      </c>
      <c r="AK23" s="385">
        <f t="shared" si="14"/>
        <v>122.28987594503724</v>
      </c>
      <c r="AL23" s="385">
        <f t="shared" si="14"/>
        <v>122.28987594503724</v>
      </c>
      <c r="AM23" s="385">
        <f t="shared" si="14"/>
        <v>122.28987594503724</v>
      </c>
      <c r="AN23" s="385">
        <f t="shared" si="14"/>
        <v>122.28987594503724</v>
      </c>
      <c r="AO23" s="385">
        <f t="shared" si="14"/>
        <v>122.28987594503724</v>
      </c>
      <c r="AP23" s="385">
        <f t="shared" si="14"/>
        <v>122.28987594503724</v>
      </c>
      <c r="AQ23" s="385">
        <f t="shared" si="14"/>
        <v>122.28987594503724</v>
      </c>
      <c r="AR23" s="385">
        <f t="shared" si="14"/>
        <v>122.28987594503724</v>
      </c>
      <c r="AS23" s="385">
        <f t="shared" si="14"/>
        <v>122.28987594503724</v>
      </c>
      <c r="AT23" s="385">
        <f>SUM(AT20:AT22)</f>
        <v>61.144937972518619</v>
      </c>
      <c r="AU23" s="367"/>
      <c r="AV23" s="367"/>
    </row>
    <row r="24" spans="1:87" ht="20.100000000000001" customHeight="1">
      <c r="A24" s="311"/>
      <c r="B24" s="320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V24" s="313"/>
      <c r="W24" s="363"/>
      <c r="X24" s="363"/>
      <c r="Y24" s="363"/>
      <c r="Z24" s="363"/>
      <c r="AA24" s="363"/>
      <c r="AB24" s="363"/>
      <c r="AC24" s="363"/>
      <c r="AD24" s="363"/>
      <c r="AE24" s="363"/>
      <c r="AF24" s="363"/>
      <c r="AG24" s="363"/>
      <c r="AH24" s="363"/>
      <c r="AI24" s="363"/>
      <c r="AJ24" s="363"/>
      <c r="AK24" s="363"/>
      <c r="AL24" s="363"/>
      <c r="AM24" s="363"/>
      <c r="AN24" s="363"/>
      <c r="AO24" s="363"/>
      <c r="AP24" s="363"/>
      <c r="AQ24" s="363"/>
      <c r="AR24" s="363"/>
      <c r="AS24" s="363"/>
      <c r="AT24" s="363"/>
      <c r="AU24" s="313"/>
      <c r="AV24" s="313"/>
    </row>
    <row r="25" spans="1:87" ht="20.100000000000001" customHeight="1">
      <c r="A25" s="311"/>
      <c r="B25" s="311"/>
      <c r="C25" s="311"/>
      <c r="D25" s="311"/>
      <c r="E25" s="311"/>
      <c r="F25" s="311"/>
      <c r="G25" s="311"/>
      <c r="H25" s="311"/>
      <c r="I25" s="311"/>
      <c r="J25" s="311"/>
      <c r="K25" s="311"/>
      <c r="L25" s="311"/>
      <c r="M25" s="311"/>
      <c r="N25" s="311"/>
      <c r="V25" s="313"/>
      <c r="W25" s="348" t="s">
        <v>285</v>
      </c>
      <c r="X25" s="355"/>
      <c r="Y25" s="355"/>
      <c r="Z25" s="355"/>
      <c r="AA25" s="355"/>
      <c r="AB25" s="355"/>
      <c r="AC25" s="355"/>
      <c r="AD25" s="355"/>
      <c r="AE25" s="355"/>
      <c r="AF25" s="355"/>
      <c r="AG25" s="355"/>
      <c r="AH25" s="355"/>
      <c r="AI25" s="355"/>
      <c r="AJ25" s="355"/>
      <c r="AK25" s="355"/>
      <c r="AL25" s="355"/>
      <c r="AM25" s="355"/>
      <c r="AN25" s="355"/>
      <c r="AO25" s="355"/>
      <c r="AP25" s="355"/>
      <c r="AQ25" s="355"/>
      <c r="AR25" s="355"/>
      <c r="AS25" s="355"/>
      <c r="AT25" s="355"/>
      <c r="AU25" s="354"/>
      <c r="AV25" s="354"/>
    </row>
    <row r="26" spans="1:87" ht="20.100000000000001" customHeight="1">
      <c r="A26" s="311"/>
      <c r="B26" s="311"/>
      <c r="C26" s="368"/>
      <c r="D26" s="368"/>
      <c r="E26" s="311"/>
      <c r="F26" s="311"/>
      <c r="G26" s="311"/>
      <c r="H26" s="311"/>
      <c r="I26" s="386"/>
      <c r="J26" s="311"/>
      <c r="K26" s="311"/>
      <c r="L26" s="311"/>
      <c r="M26" s="311"/>
      <c r="N26" s="311"/>
      <c r="V26" s="313"/>
      <c r="W26" s="348" t="s">
        <v>286</v>
      </c>
      <c r="X26" s="355"/>
      <c r="Y26" s="355"/>
      <c r="Z26" s="355"/>
      <c r="AA26" s="355"/>
      <c r="AB26" s="355"/>
      <c r="AC26" s="355"/>
      <c r="AD26" s="355"/>
      <c r="AE26" s="355"/>
      <c r="AF26" s="355"/>
      <c r="AG26" s="355"/>
      <c r="AH26" s="355"/>
      <c r="AI26" s="355"/>
      <c r="AJ26" s="355"/>
      <c r="AK26" s="355"/>
      <c r="AL26" s="355"/>
      <c r="AM26" s="355"/>
      <c r="AN26" s="355"/>
      <c r="AO26" s="355"/>
      <c r="AP26" s="355"/>
      <c r="AQ26" s="355"/>
      <c r="AR26" s="355"/>
      <c r="AS26" s="355"/>
      <c r="AT26" s="355"/>
      <c r="AU26" s="354"/>
      <c r="AV26" s="354"/>
    </row>
    <row r="27" spans="1:87" ht="20.100000000000001" customHeight="1">
      <c r="A27" s="304"/>
      <c r="B27" s="311"/>
      <c r="C27" s="311"/>
      <c r="D27" s="311"/>
      <c r="E27" s="311"/>
      <c r="F27" s="311"/>
      <c r="G27" s="311"/>
      <c r="H27" s="311"/>
      <c r="I27" s="386"/>
      <c r="J27" s="311"/>
      <c r="K27" s="311"/>
      <c r="L27" s="311"/>
      <c r="M27" s="311"/>
      <c r="N27" s="311"/>
      <c r="V27" s="313"/>
      <c r="W27" s="348" t="s">
        <v>287</v>
      </c>
      <c r="X27" s="355">
        <f t="shared" ref="X27:AA28" si="15">+X21</f>
        <v>0</v>
      </c>
      <c r="Y27" s="355">
        <f t="shared" si="15"/>
        <v>0</v>
      </c>
      <c r="Z27" s="355">
        <f t="shared" si="15"/>
        <v>0</v>
      </c>
      <c r="AA27" s="355">
        <f t="shared" si="15"/>
        <v>0</v>
      </c>
      <c r="AB27" s="355">
        <v>0</v>
      </c>
      <c r="AC27" s="355">
        <v>0</v>
      </c>
      <c r="AD27" s="355">
        <v>0</v>
      </c>
      <c r="AE27" s="355">
        <v>0</v>
      </c>
      <c r="AF27" s="355">
        <v>0</v>
      </c>
      <c r="AG27" s="355">
        <v>0</v>
      </c>
      <c r="AH27" s="355">
        <v>0</v>
      </c>
      <c r="AI27" s="355">
        <v>0</v>
      </c>
      <c r="AJ27" s="355">
        <v>0</v>
      </c>
      <c r="AK27" s="355">
        <v>0</v>
      </c>
      <c r="AL27" s="355">
        <v>0</v>
      </c>
      <c r="AM27" s="355">
        <v>0</v>
      </c>
      <c r="AN27" s="355">
        <v>0</v>
      </c>
      <c r="AO27" s="355">
        <v>0</v>
      </c>
      <c r="AP27" s="355">
        <v>0</v>
      </c>
      <c r="AQ27" s="355">
        <v>0</v>
      </c>
      <c r="AR27" s="355">
        <v>0</v>
      </c>
      <c r="AS27" s="355">
        <v>0</v>
      </c>
      <c r="AT27" s="355">
        <v>0</v>
      </c>
      <c r="AU27" s="354"/>
      <c r="AV27" s="354"/>
    </row>
    <row r="28" spans="1:87" ht="20.100000000000001" customHeight="1">
      <c r="A28" s="304"/>
      <c r="B28" s="387"/>
      <c r="C28" s="311"/>
      <c r="D28" s="311"/>
      <c r="E28" s="311"/>
      <c r="F28" s="311"/>
      <c r="G28" s="311"/>
      <c r="H28" s="311"/>
      <c r="I28" s="311"/>
      <c r="J28" s="311"/>
      <c r="K28" s="311"/>
      <c r="L28" s="311"/>
      <c r="M28" s="388"/>
      <c r="N28" s="311"/>
      <c r="V28" s="313"/>
      <c r="W28" s="348" t="s">
        <v>288</v>
      </c>
      <c r="X28" s="355">
        <f t="shared" si="15"/>
        <v>5.7426524784528254</v>
      </c>
      <c r="Y28" s="355">
        <f t="shared" si="15"/>
        <v>0.78049939439289395</v>
      </c>
      <c r="Z28" s="355">
        <f t="shared" si="15"/>
        <v>0.68364910457771733</v>
      </c>
      <c r="AA28" s="355">
        <f t="shared" si="15"/>
        <v>0</v>
      </c>
      <c r="AB28" s="355">
        <v>0</v>
      </c>
      <c r="AC28" s="355">
        <v>0</v>
      </c>
      <c r="AD28" s="355">
        <v>0</v>
      </c>
      <c r="AE28" s="355">
        <v>0</v>
      </c>
      <c r="AF28" s="355">
        <v>0</v>
      </c>
      <c r="AG28" s="355">
        <v>0</v>
      </c>
      <c r="AH28" s="355">
        <v>0</v>
      </c>
      <c r="AI28" s="355">
        <v>0</v>
      </c>
      <c r="AJ28" s="355"/>
      <c r="AK28" s="355">
        <v>0</v>
      </c>
      <c r="AL28" s="355">
        <v>0</v>
      </c>
      <c r="AM28" s="355">
        <v>0</v>
      </c>
      <c r="AN28" s="355">
        <v>0</v>
      </c>
      <c r="AO28" s="355">
        <v>0</v>
      </c>
      <c r="AP28" s="355">
        <v>0</v>
      </c>
      <c r="AQ28" s="355">
        <v>0</v>
      </c>
      <c r="AR28" s="355">
        <v>0</v>
      </c>
      <c r="AS28" s="355">
        <v>0</v>
      </c>
      <c r="AT28" s="355">
        <v>0</v>
      </c>
      <c r="AU28" s="354"/>
      <c r="AV28" s="354"/>
    </row>
    <row r="29" spans="1:87" ht="20.100000000000001" customHeight="1">
      <c r="A29" s="304"/>
      <c r="B29" s="389"/>
      <c r="C29" s="389"/>
      <c r="D29" s="311"/>
      <c r="E29" s="343"/>
      <c r="F29" s="389"/>
      <c r="G29" s="343"/>
      <c r="H29" s="801"/>
      <c r="I29" s="801"/>
      <c r="J29" s="311"/>
      <c r="K29" s="311"/>
      <c r="L29" s="311"/>
      <c r="M29" s="388"/>
      <c r="N29" s="311"/>
      <c r="V29" s="313"/>
      <c r="W29" s="348" t="s">
        <v>289</v>
      </c>
      <c r="X29" s="355"/>
      <c r="Y29" s="355"/>
      <c r="Z29" s="355"/>
      <c r="AA29" s="355"/>
      <c r="AB29" s="355"/>
      <c r="AC29" s="355"/>
      <c r="AD29" s="355"/>
      <c r="AE29" s="355"/>
      <c r="AF29" s="355"/>
      <c r="AG29" s="355"/>
      <c r="AH29" s="355"/>
      <c r="AI29" s="355"/>
      <c r="AJ29" s="355"/>
      <c r="AK29" s="355"/>
      <c r="AL29" s="355"/>
      <c r="AM29" s="355"/>
      <c r="AN29" s="355"/>
      <c r="AO29" s="355"/>
      <c r="AP29" s="355"/>
      <c r="AQ29" s="355"/>
      <c r="AR29" s="355"/>
      <c r="AS29" s="355"/>
      <c r="AT29" s="355"/>
      <c r="AU29" s="354"/>
      <c r="AV29" s="354"/>
    </row>
    <row r="30" spans="1:87" ht="20.100000000000001" customHeight="1">
      <c r="A30" s="304"/>
      <c r="B30" s="343"/>
      <c r="C30" s="389"/>
      <c r="D30" s="311"/>
      <c r="E30" s="343"/>
      <c r="F30" s="390"/>
      <c r="G30" s="343"/>
      <c r="H30" s="389"/>
      <c r="I30" s="389"/>
      <c r="J30" s="311"/>
      <c r="K30" s="311"/>
      <c r="L30" s="311"/>
      <c r="M30" s="388"/>
      <c r="N30" s="311"/>
      <c r="T30" s="312" t="s">
        <v>338</v>
      </c>
      <c r="U30" s="391">
        <v>0.1</v>
      </c>
      <c r="W30" s="392" t="s">
        <v>339</v>
      </c>
      <c r="X30" s="355">
        <f>+AZ11</f>
        <v>0</v>
      </c>
      <c r="Y30" s="355"/>
      <c r="Z30" s="355">
        <f>+($X$28+$Y$28+$Z$28-SUM($X$32:Y32))*$U$30*1/2</f>
        <v>0.36034004887117188</v>
      </c>
      <c r="AA30" s="355">
        <f>+($X$28+$Y$28+$Z$28-SUM($Y$32:Z32))*$U$30</f>
        <v>0.72068009774234376</v>
      </c>
      <c r="AB30" s="355">
        <f>+($X$28+$Y$28+$Z$28-SUM($Y$32:AA32))*$U$30</f>
        <v>0.72068009774234376</v>
      </c>
      <c r="AC30" s="355">
        <f>+($X$28+$Y$28+$Z$28-SUM($Y$32:AB32))*$U$30</f>
        <v>0.64861208796810932</v>
      </c>
      <c r="AD30" s="355">
        <f>+($X$28+$Y$28+$Z$28-SUM($Y$32:AC32))*$U$30</f>
        <v>0.57654407819387499</v>
      </c>
      <c r="AE30" s="355">
        <f>+($X$28+$Y$28+$Z$28-SUM($Y$32:AD32))*$U$30</f>
        <v>0.50447606841964066</v>
      </c>
      <c r="AF30" s="355">
        <f>+($X$28+$Y$28+$Z$28-SUM($Y$32:AE32))*$U$30</f>
        <v>0.43240805864540627</v>
      </c>
      <c r="AG30" s="355">
        <f>+($X$28+$Y$28+$Z$28-SUM($Y$32:AF32))*$U$30</f>
        <v>0.36034004887117188</v>
      </c>
      <c r="AH30" s="355">
        <f>+($X$28+$Y$28+$Z$28-SUM($Y$32:AG32))*$U$30</f>
        <v>0.28827203909693749</v>
      </c>
      <c r="AI30" s="355">
        <f>+($X$28+$Y$28+$Z$28-SUM($Y$32:AH32))*$U$30</f>
        <v>0.21620402932270313</v>
      </c>
      <c r="AJ30" s="355">
        <f>+($X$28+$Y$28+$Z$28-SUM($Y$32:AI32))*$U$30</f>
        <v>0.14413601954846875</v>
      </c>
      <c r="AK30" s="355">
        <f>+($X$28+$Y$28+$Z$28-SUM($Y$32:AJ32))*$U$30</f>
        <v>7.2068009774234373E-2</v>
      </c>
      <c r="AL30" s="355">
        <f>+($X$28+$Y$28+$Z$28-SUM($Y$32:AK32))*$U$30</f>
        <v>0</v>
      </c>
      <c r="AM30" s="355">
        <f>+($X$28+$Y$28+$Z$28-SUM($Y$32:AL32))*$U$30</f>
        <v>0</v>
      </c>
      <c r="AN30" s="355">
        <f>+($X$28+$Y$28+$Z$28-SUM($Y$32:AM32))*$U$30</f>
        <v>0</v>
      </c>
      <c r="AO30" s="355">
        <f>+($X$28+$Y$28+$Z$28-SUM($Y$32:AN32))*$U$30</f>
        <v>0</v>
      </c>
      <c r="AP30" s="355">
        <f>+($X$28+$Y$28+$Z$28-SUM($Y$32:AO32))*$U$30</f>
        <v>0</v>
      </c>
      <c r="AQ30" s="355">
        <f>+($X$28+$Y$28+$Z$28-SUM($Y$32:AP32))*$U$30</f>
        <v>0</v>
      </c>
      <c r="AR30" s="355">
        <f>+($X$28+$Y$28+$Z$28-SUM($Y$32:AQ32))*$U$30</f>
        <v>0</v>
      </c>
      <c r="AS30" s="355">
        <f>+($X$28+$Y$28+$Z$28-SUM($Y$32:AR32))*$U$30</f>
        <v>0</v>
      </c>
      <c r="AT30" s="355">
        <f>+($X$28+$Y$28+$Z$28-SUM($Y$32:AS32))*$U$30</f>
        <v>0</v>
      </c>
      <c r="AU30" s="354"/>
      <c r="AV30" s="354"/>
    </row>
    <row r="31" spans="1:87" ht="20.100000000000001" customHeight="1">
      <c r="A31" s="304"/>
      <c r="B31" s="393"/>
      <c r="C31" s="393"/>
      <c r="D31" s="393"/>
      <c r="E31" s="393"/>
      <c r="F31" s="393"/>
      <c r="G31" s="393"/>
      <c r="H31" s="393"/>
      <c r="I31" s="393"/>
      <c r="J31" s="311"/>
      <c r="K31" s="311"/>
      <c r="L31" s="311"/>
      <c r="M31" s="311"/>
      <c r="N31" s="311"/>
      <c r="T31" s="312" t="s">
        <v>340</v>
      </c>
      <c r="U31" s="394">
        <v>0.1</v>
      </c>
      <c r="V31" s="395"/>
      <c r="W31" s="392"/>
      <c r="X31" s="355"/>
      <c r="Y31" s="355"/>
      <c r="Z31" s="355"/>
      <c r="AA31" s="355">
        <f t="shared" ref="AA31:AT31" si="16">+$D$18*$U$31</f>
        <v>0</v>
      </c>
      <c r="AB31" s="355">
        <f t="shared" si="16"/>
        <v>0</v>
      </c>
      <c r="AC31" s="355">
        <f t="shared" si="16"/>
        <v>0</v>
      </c>
      <c r="AD31" s="355">
        <f t="shared" si="16"/>
        <v>0</v>
      </c>
      <c r="AE31" s="355">
        <f t="shared" si="16"/>
        <v>0</v>
      </c>
      <c r="AF31" s="355">
        <f t="shared" si="16"/>
        <v>0</v>
      </c>
      <c r="AG31" s="355">
        <f t="shared" si="16"/>
        <v>0</v>
      </c>
      <c r="AH31" s="355">
        <f t="shared" si="16"/>
        <v>0</v>
      </c>
      <c r="AI31" s="355">
        <f t="shared" si="16"/>
        <v>0</v>
      </c>
      <c r="AJ31" s="355">
        <f t="shared" si="16"/>
        <v>0</v>
      </c>
      <c r="AK31" s="355">
        <f t="shared" si="16"/>
        <v>0</v>
      </c>
      <c r="AL31" s="355">
        <f t="shared" si="16"/>
        <v>0</v>
      </c>
      <c r="AM31" s="355">
        <f t="shared" si="16"/>
        <v>0</v>
      </c>
      <c r="AN31" s="355">
        <f t="shared" si="16"/>
        <v>0</v>
      </c>
      <c r="AO31" s="355">
        <f t="shared" si="16"/>
        <v>0</v>
      </c>
      <c r="AP31" s="355">
        <f t="shared" si="16"/>
        <v>0</v>
      </c>
      <c r="AQ31" s="355">
        <f t="shared" si="16"/>
        <v>0</v>
      </c>
      <c r="AR31" s="355">
        <f t="shared" si="16"/>
        <v>0</v>
      </c>
      <c r="AS31" s="355">
        <f t="shared" si="16"/>
        <v>0</v>
      </c>
      <c r="AT31" s="355">
        <f t="shared" si="16"/>
        <v>0</v>
      </c>
      <c r="AU31" s="354"/>
      <c r="AV31" s="354"/>
    </row>
    <row r="32" spans="1:87" ht="20.100000000000001" customHeight="1">
      <c r="A32" s="304"/>
      <c r="B32" s="343"/>
      <c r="C32" s="343"/>
      <c r="D32" s="388"/>
      <c r="E32" s="343"/>
      <c r="F32" s="343"/>
      <c r="G32" s="343"/>
      <c r="H32" s="343"/>
      <c r="I32" s="343"/>
      <c r="J32" s="388"/>
      <c r="K32" s="388"/>
      <c r="L32" s="311"/>
      <c r="M32" s="311"/>
      <c r="N32" s="311"/>
      <c r="V32" s="378">
        <f>SUM(X32:AS32)</f>
        <v>7.2068009774234367</v>
      </c>
      <c r="W32" s="348" t="s">
        <v>290</v>
      </c>
      <c r="X32" s="355">
        <f>+AZ14</f>
        <v>0</v>
      </c>
      <c r="Y32" s="355"/>
      <c r="Z32" s="355"/>
      <c r="AA32" s="355"/>
      <c r="AB32" s="355">
        <f t="shared" ref="AB32:AK32" si="17">+$V$22/10</f>
        <v>0.72068009774234365</v>
      </c>
      <c r="AC32" s="355">
        <f t="shared" si="17"/>
        <v>0.72068009774234365</v>
      </c>
      <c r="AD32" s="355">
        <f t="shared" si="17"/>
        <v>0.72068009774234365</v>
      </c>
      <c r="AE32" s="355">
        <f t="shared" si="17"/>
        <v>0.72068009774234365</v>
      </c>
      <c r="AF32" s="355">
        <f t="shared" si="17"/>
        <v>0.72068009774234365</v>
      </c>
      <c r="AG32" s="355">
        <f t="shared" si="17"/>
        <v>0.72068009774234365</v>
      </c>
      <c r="AH32" s="355">
        <f t="shared" si="17"/>
        <v>0.72068009774234365</v>
      </c>
      <c r="AI32" s="355">
        <f t="shared" si="17"/>
        <v>0.72068009774234365</v>
      </c>
      <c r="AJ32" s="355">
        <f t="shared" si="17"/>
        <v>0.72068009774234365</v>
      </c>
      <c r="AK32" s="355">
        <f t="shared" si="17"/>
        <v>0.72068009774234365</v>
      </c>
      <c r="AL32" s="355"/>
      <c r="AM32" s="355"/>
      <c r="AN32" s="355"/>
      <c r="AO32" s="355"/>
      <c r="AP32" s="355"/>
      <c r="AQ32" s="355"/>
      <c r="AR32" s="355"/>
      <c r="AS32" s="355"/>
      <c r="AT32" s="355"/>
      <c r="AU32" s="354"/>
      <c r="AV32" s="354"/>
    </row>
    <row r="33" spans="1:51" ht="20.100000000000001" customHeight="1">
      <c r="A33" s="304"/>
      <c r="B33" s="389"/>
      <c r="C33" s="343"/>
      <c r="D33" s="388"/>
      <c r="E33" s="343"/>
      <c r="F33" s="343"/>
      <c r="G33" s="343"/>
      <c r="H33" s="343"/>
      <c r="I33" s="343"/>
      <c r="J33" s="388"/>
      <c r="K33" s="388"/>
      <c r="L33" s="311"/>
      <c r="M33" s="311"/>
      <c r="N33" s="311"/>
      <c r="V33" s="313"/>
      <c r="W33" s="365" t="s">
        <v>291</v>
      </c>
      <c r="X33" s="366">
        <f>+X11</f>
        <v>0</v>
      </c>
      <c r="Y33" s="366">
        <f t="shared" ref="Y33:AS33" si="18">+Y11</f>
        <v>0</v>
      </c>
      <c r="Z33" s="366">
        <f t="shared" si="18"/>
        <v>16.800472924659676</v>
      </c>
      <c r="AA33" s="366">
        <f t="shared" si="18"/>
        <v>42.172560631679559</v>
      </c>
      <c r="AB33" s="366">
        <f t="shared" si="18"/>
        <v>42.218847506459433</v>
      </c>
      <c r="AC33" s="366">
        <f t="shared" si="18"/>
        <v>42.283374795357837</v>
      </c>
      <c r="AD33" s="366">
        <f t="shared" si="18"/>
        <v>42.342000507721806</v>
      </c>
      <c r="AE33" s="366">
        <f t="shared" si="18"/>
        <v>42.395609880031508</v>
      </c>
      <c r="AF33" s="366">
        <f t="shared" si="18"/>
        <v>42.444955363295072</v>
      </c>
      <c r="AG33" s="366">
        <f t="shared" si="18"/>
        <v>42.490676540869437</v>
      </c>
      <c r="AH33" s="366">
        <f t="shared" si="18"/>
        <v>42.533317058607963</v>
      </c>
      <c r="AI33" s="366">
        <f t="shared" si="18"/>
        <v>42.573339015486049</v>
      </c>
      <c r="AJ33" s="366">
        <f t="shared" si="18"/>
        <v>42.611135195632741</v>
      </c>
      <c r="AK33" s="366">
        <f t="shared" si="18"/>
        <v>42.647039465557761</v>
      </c>
      <c r="AL33" s="366">
        <f t="shared" si="18"/>
        <v>42.681335611794346</v>
      </c>
      <c r="AM33" s="366">
        <f t="shared" si="18"/>
        <v>42.689081407560266</v>
      </c>
      <c r="AN33" s="366">
        <f t="shared" si="18"/>
        <v>42.695665333961301</v>
      </c>
      <c r="AO33" s="366">
        <f t="shared" si="18"/>
        <v>42.701261671402172</v>
      </c>
      <c r="AP33" s="366">
        <f t="shared" si="18"/>
        <v>42.706018558226923</v>
      </c>
      <c r="AQ33" s="366">
        <f t="shared" si="18"/>
        <v>42.710061912027953</v>
      </c>
      <c r="AR33" s="366">
        <f t="shared" si="18"/>
        <v>42.714337366238162</v>
      </c>
      <c r="AS33" s="366">
        <f t="shared" si="18"/>
        <v>42.732974250233809</v>
      </c>
      <c r="AT33" s="366">
        <f>+AT11</f>
        <v>21.366487125116905</v>
      </c>
      <c r="AU33" s="367"/>
      <c r="AV33" s="367"/>
    </row>
    <row r="34" spans="1:51" ht="20.100000000000001" customHeight="1">
      <c r="A34" s="304"/>
      <c r="B34" s="389"/>
      <c r="C34" s="343"/>
      <c r="D34" s="388"/>
      <c r="E34" s="343"/>
      <c r="F34" s="343"/>
      <c r="G34" s="343"/>
      <c r="H34" s="343"/>
      <c r="I34" s="343"/>
      <c r="J34" s="388"/>
      <c r="K34" s="388"/>
      <c r="L34" s="311"/>
      <c r="M34" s="311"/>
      <c r="N34" s="311"/>
      <c r="V34" s="313"/>
      <c r="W34" s="348" t="s">
        <v>5</v>
      </c>
      <c r="X34" s="355">
        <f>SUM(X26:X33)</f>
        <v>5.7426524784528254</v>
      </c>
      <c r="Y34" s="355">
        <f>SUM(Y26:Y33)</f>
        <v>0.78049939439289395</v>
      </c>
      <c r="Z34" s="355">
        <f t="shared" ref="Z34:AS34" si="19">SUM(Z26:Z33)</f>
        <v>17.844462078108567</v>
      </c>
      <c r="AA34" s="355">
        <f t="shared" si="19"/>
        <v>42.893240729421905</v>
      </c>
      <c r="AB34" s="355">
        <f t="shared" si="19"/>
        <v>43.660207701944117</v>
      </c>
      <c r="AC34" s="355">
        <f t="shared" si="19"/>
        <v>43.652666981068293</v>
      </c>
      <c r="AD34" s="355">
        <f t="shared" si="19"/>
        <v>43.639224683658028</v>
      </c>
      <c r="AE34" s="355">
        <f t="shared" si="19"/>
        <v>43.620766046193495</v>
      </c>
      <c r="AF34" s="355">
        <f t="shared" si="19"/>
        <v>43.598043519682825</v>
      </c>
      <c r="AG34" s="355">
        <f t="shared" si="19"/>
        <v>43.571696687482955</v>
      </c>
      <c r="AH34" s="355">
        <f t="shared" si="19"/>
        <v>43.542269195447247</v>
      </c>
      <c r="AI34" s="355">
        <f t="shared" si="19"/>
        <v>43.510223142551098</v>
      </c>
      <c r="AJ34" s="355">
        <f t="shared" si="19"/>
        <v>43.475951312923556</v>
      </c>
      <c r="AK34" s="355">
        <f t="shared" si="19"/>
        <v>43.439787573074341</v>
      </c>
      <c r="AL34" s="355">
        <f t="shared" si="19"/>
        <v>42.681335611794346</v>
      </c>
      <c r="AM34" s="355">
        <f t="shared" si="19"/>
        <v>42.689081407560266</v>
      </c>
      <c r="AN34" s="355">
        <f t="shared" si="19"/>
        <v>42.695665333961301</v>
      </c>
      <c r="AO34" s="355">
        <f t="shared" si="19"/>
        <v>42.701261671402172</v>
      </c>
      <c r="AP34" s="355">
        <f t="shared" si="19"/>
        <v>42.706018558226923</v>
      </c>
      <c r="AQ34" s="355">
        <f t="shared" si="19"/>
        <v>42.710061912027953</v>
      </c>
      <c r="AR34" s="355">
        <f t="shared" si="19"/>
        <v>42.714337366238162</v>
      </c>
      <c r="AS34" s="355">
        <f t="shared" si="19"/>
        <v>42.732974250233809</v>
      </c>
      <c r="AT34" s="355">
        <f>SUM(AT26:AT33)</f>
        <v>21.366487125116905</v>
      </c>
      <c r="AU34" s="354"/>
      <c r="AV34" s="354"/>
    </row>
    <row r="35" spans="1:51" ht="20.100000000000001" customHeight="1" thickBot="1">
      <c r="A35" s="304"/>
      <c r="B35" s="396"/>
      <c r="C35" s="343"/>
      <c r="D35" s="388"/>
      <c r="E35" s="343"/>
      <c r="F35" s="343"/>
      <c r="G35" s="343"/>
      <c r="H35" s="343"/>
      <c r="I35" s="343"/>
      <c r="J35" s="311"/>
      <c r="K35" s="388"/>
      <c r="L35" s="311"/>
      <c r="M35" s="311"/>
      <c r="N35" s="311"/>
      <c r="V35" s="313"/>
      <c r="W35" s="397" t="s">
        <v>292</v>
      </c>
      <c r="X35" s="398">
        <f t="shared" ref="X35:AS35" si="20">+X23-X34</f>
        <v>0</v>
      </c>
      <c r="Y35" s="398">
        <f t="shared" si="20"/>
        <v>0</v>
      </c>
      <c r="Z35" s="398">
        <f t="shared" si="20"/>
        <v>31.755137404484049</v>
      </c>
      <c r="AA35" s="398">
        <f t="shared" si="20"/>
        <v>79.396635215615333</v>
      </c>
      <c r="AB35" s="398">
        <f t="shared" si="20"/>
        <v>78.629668243093121</v>
      </c>
      <c r="AC35" s="398">
        <f t="shared" si="20"/>
        <v>78.637208963968945</v>
      </c>
      <c r="AD35" s="398">
        <f t="shared" si="20"/>
        <v>78.65065126137921</v>
      </c>
      <c r="AE35" s="398">
        <f t="shared" si="20"/>
        <v>78.669109898843743</v>
      </c>
      <c r="AF35" s="398">
        <f t="shared" si="20"/>
        <v>78.69183242535442</v>
      </c>
      <c r="AG35" s="398">
        <f t="shared" si="20"/>
        <v>78.718179257554283</v>
      </c>
      <c r="AH35" s="398">
        <f t="shared" si="20"/>
        <v>78.747606749589991</v>
      </c>
      <c r="AI35" s="398">
        <f t="shared" si="20"/>
        <v>78.77965280248614</v>
      </c>
      <c r="AJ35" s="398">
        <f t="shared" si="20"/>
        <v>78.813924632113682</v>
      </c>
      <c r="AK35" s="398">
        <f t="shared" si="20"/>
        <v>78.850088371962897</v>
      </c>
      <c r="AL35" s="398">
        <f t="shared" si="20"/>
        <v>79.6085403332429</v>
      </c>
      <c r="AM35" s="398">
        <f t="shared" si="20"/>
        <v>79.600794537476972</v>
      </c>
      <c r="AN35" s="398">
        <f t="shared" si="20"/>
        <v>79.594210611075937</v>
      </c>
      <c r="AO35" s="398">
        <f t="shared" si="20"/>
        <v>79.588614273635073</v>
      </c>
      <c r="AP35" s="398">
        <f t="shared" si="20"/>
        <v>79.583857386810308</v>
      </c>
      <c r="AQ35" s="398">
        <f t="shared" si="20"/>
        <v>79.579814033009285</v>
      </c>
      <c r="AR35" s="398">
        <f t="shared" si="20"/>
        <v>79.575538578799069</v>
      </c>
      <c r="AS35" s="398">
        <f t="shared" si="20"/>
        <v>79.556901694803429</v>
      </c>
      <c r="AT35" s="398">
        <f>+AT23-AT34</f>
        <v>39.778450847401714</v>
      </c>
      <c r="AU35" s="367"/>
      <c r="AV35" s="367"/>
    </row>
    <row r="36" spans="1:51" ht="20.100000000000001" customHeight="1" thickBot="1">
      <c r="A36" s="305"/>
      <c r="B36" s="389"/>
      <c r="C36" s="343"/>
      <c r="D36" s="388"/>
      <c r="E36" s="343"/>
      <c r="F36" s="343"/>
      <c r="G36" s="343"/>
      <c r="H36" s="343"/>
      <c r="I36" s="343"/>
      <c r="J36" s="388"/>
      <c r="K36" s="388"/>
      <c r="L36" s="311"/>
      <c r="M36" s="311"/>
      <c r="N36" s="311"/>
      <c r="V36" s="313"/>
      <c r="W36" s="399" t="s">
        <v>293</v>
      </c>
      <c r="X36" s="400">
        <f>SUM($X$35:X35)</f>
        <v>0</v>
      </c>
      <c r="Y36" s="400">
        <f>SUM($X$35:Y35)</f>
        <v>0</v>
      </c>
      <c r="Z36" s="400">
        <f>SUM($X$35:Z35)</f>
        <v>31.755137404484049</v>
      </c>
      <c r="AA36" s="400">
        <f>SUM($X$35:AA35)</f>
        <v>111.15177262009938</v>
      </c>
      <c r="AB36" s="400">
        <f>SUM($X$35:AB35)</f>
        <v>189.7814408631925</v>
      </c>
      <c r="AC36" s="400">
        <f>SUM($X$35:AC35)</f>
        <v>268.41864982716146</v>
      </c>
      <c r="AD36" s="400">
        <f>SUM($X$35:AD35)</f>
        <v>347.06930108854067</v>
      </c>
      <c r="AE36" s="400">
        <f>SUM($X$35:AE35)</f>
        <v>425.73841098738444</v>
      </c>
      <c r="AF36" s="400">
        <f>SUM($X$35:AF35)</f>
        <v>504.43024341273883</v>
      </c>
      <c r="AG36" s="400">
        <f>SUM($X$35:AG35)</f>
        <v>583.14842267029314</v>
      </c>
      <c r="AH36" s="400">
        <f>SUM($X$35:AH35)</f>
        <v>661.89602941988312</v>
      </c>
      <c r="AI36" s="400">
        <f>SUM($X$35:AI35)</f>
        <v>740.67568222236923</v>
      </c>
      <c r="AJ36" s="400">
        <f>SUM($X$35:AJ35)</f>
        <v>819.48960685448287</v>
      </c>
      <c r="AK36" s="400">
        <f>SUM($X$35:AK35)</f>
        <v>898.33969522644577</v>
      </c>
      <c r="AL36" s="400">
        <f>SUM($X$35:AL35)</f>
        <v>977.94823555968867</v>
      </c>
      <c r="AM36" s="400">
        <f>SUM($X$35:AM35)</f>
        <v>1057.5490300971655</v>
      </c>
      <c r="AN36" s="400">
        <f>SUM($X$35:AN35)</f>
        <v>1137.1432407082416</v>
      </c>
      <c r="AO36" s="400">
        <f>SUM($X$35:AO35)</f>
        <v>1216.7318549818767</v>
      </c>
      <c r="AP36" s="400">
        <f>SUM($X$35:AP35)</f>
        <v>1296.3157123686869</v>
      </c>
      <c r="AQ36" s="400">
        <f>SUM($X$35:AQ35)</f>
        <v>1375.8955264016963</v>
      </c>
      <c r="AR36" s="400">
        <f>SUM($X$35:AR35)</f>
        <v>1455.4710649804954</v>
      </c>
      <c r="AS36" s="400">
        <f>SUM($X$35:AS35)</f>
        <v>1535.0279666752988</v>
      </c>
      <c r="AT36" s="400">
        <f>SUM($X$35:AT35)</f>
        <v>1574.8064175227005</v>
      </c>
      <c r="AU36" s="367"/>
      <c r="AV36" s="367"/>
    </row>
    <row r="37" spans="1:51" ht="20.100000000000001" customHeight="1">
      <c r="B37" s="343"/>
      <c r="C37" s="343"/>
      <c r="D37" s="343"/>
      <c r="E37" s="343"/>
      <c r="F37" s="343"/>
      <c r="G37" s="343"/>
      <c r="H37" s="343"/>
      <c r="I37" s="343"/>
      <c r="J37" s="343"/>
      <c r="K37" s="343"/>
      <c r="L37" s="311"/>
      <c r="M37" s="311"/>
      <c r="N37" s="311"/>
      <c r="V37" s="313"/>
      <c r="W37" s="369"/>
      <c r="X37" s="370"/>
      <c r="Y37" s="370"/>
      <c r="Z37" s="370"/>
      <c r="AA37" s="370"/>
      <c r="AB37" s="370"/>
      <c r="AC37" s="370"/>
      <c r="AD37" s="370"/>
      <c r="AE37" s="370"/>
      <c r="AF37" s="370"/>
      <c r="AG37" s="370"/>
      <c r="AH37" s="370"/>
      <c r="AI37" s="370"/>
      <c r="AJ37" s="370"/>
      <c r="AK37" s="370"/>
      <c r="AL37" s="370"/>
      <c r="AM37" s="370"/>
      <c r="AN37" s="370"/>
      <c r="AO37" s="370"/>
      <c r="AP37" s="370"/>
      <c r="AQ37" s="370"/>
      <c r="AR37" s="370"/>
      <c r="AS37" s="370"/>
      <c r="AT37" s="370"/>
      <c r="AU37" s="367"/>
      <c r="AV37" s="367"/>
    </row>
    <row r="38" spans="1:51" ht="20.100000000000001" customHeight="1">
      <c r="V38" s="313"/>
      <c r="W38" s="369"/>
      <c r="X38" s="370"/>
      <c r="Y38" s="370"/>
      <c r="Z38" s="370"/>
      <c r="AA38" s="370"/>
      <c r="AB38" s="370"/>
      <c r="AC38" s="370"/>
      <c r="AD38" s="370"/>
      <c r="AE38" s="370"/>
      <c r="AF38" s="370"/>
      <c r="AG38" s="370"/>
      <c r="AH38" s="370"/>
      <c r="AI38" s="370"/>
      <c r="AJ38" s="370"/>
      <c r="AK38" s="370"/>
      <c r="AL38" s="370"/>
      <c r="AM38" s="370"/>
      <c r="AN38" s="370"/>
      <c r="AO38" s="370"/>
      <c r="AP38" s="370"/>
      <c r="AQ38" s="370"/>
      <c r="AR38" s="370"/>
      <c r="AS38" s="370"/>
      <c r="AT38" s="370"/>
      <c r="AU38" s="367"/>
      <c r="AV38" s="367"/>
    </row>
    <row r="39" spans="1:51" ht="20.100000000000001" customHeight="1">
      <c r="V39" s="313"/>
      <c r="W39" s="363"/>
      <c r="X39" s="363"/>
      <c r="Y39" s="369"/>
      <c r="Z39" s="372" t="s">
        <v>310</v>
      </c>
      <c r="AB39" s="363"/>
      <c r="AC39" s="363"/>
      <c r="AD39" s="363"/>
      <c r="AE39" s="363"/>
      <c r="AF39" s="363"/>
      <c r="AG39" s="363"/>
      <c r="AH39" s="363"/>
      <c r="AI39" s="363"/>
      <c r="AJ39" s="363"/>
      <c r="AK39" s="363"/>
      <c r="AL39" s="363"/>
      <c r="AM39" s="363"/>
      <c r="AN39" s="363"/>
      <c r="AO39" s="363"/>
      <c r="AP39" s="363"/>
      <c r="AQ39" s="363"/>
      <c r="AR39" s="363"/>
      <c r="AS39" s="373"/>
      <c r="AT39" s="373"/>
      <c r="AU39" s="313"/>
      <c r="AV39" s="313"/>
    </row>
    <row r="40" spans="1:51" ht="20.100000000000001" customHeight="1">
      <c r="V40" s="313"/>
      <c r="W40" s="364" t="s">
        <v>294</v>
      </c>
      <c r="X40" s="363"/>
      <c r="Y40" s="348"/>
      <c r="Z40" s="348"/>
      <c r="AA40" s="376"/>
      <c r="AB40" s="363"/>
      <c r="AC40" s="363"/>
      <c r="AD40" s="320"/>
      <c r="AE40" s="377"/>
      <c r="AF40" s="377"/>
      <c r="AG40" s="377"/>
      <c r="AH40" s="377"/>
      <c r="AI40" s="377"/>
      <c r="AJ40" s="377"/>
      <c r="AK40" s="377"/>
      <c r="AL40" s="377"/>
      <c r="AM40" s="377"/>
      <c r="AN40" s="377"/>
      <c r="AO40" s="363"/>
      <c r="AP40" s="363"/>
      <c r="AQ40" s="363"/>
      <c r="AR40" s="363"/>
      <c r="AS40" s="363"/>
      <c r="AT40" s="363"/>
      <c r="AU40" s="313"/>
      <c r="AV40" s="313"/>
    </row>
    <row r="41" spans="1:51" ht="20.100000000000001" customHeight="1">
      <c r="V41" s="401"/>
      <c r="W41" s="402" t="s">
        <v>4</v>
      </c>
      <c r="X41" s="337" t="s">
        <v>255</v>
      </c>
      <c r="Y41" s="337" t="s">
        <v>256</v>
      </c>
      <c r="Z41" s="337" t="s">
        <v>257</v>
      </c>
      <c r="AA41" s="337" t="s">
        <v>258</v>
      </c>
      <c r="AB41" s="337" t="s">
        <v>259</v>
      </c>
      <c r="AC41" s="337" t="s">
        <v>260</v>
      </c>
      <c r="AD41" s="337" t="s">
        <v>261</v>
      </c>
      <c r="AE41" s="337" t="s">
        <v>262</v>
      </c>
      <c r="AF41" s="337" t="s">
        <v>263</v>
      </c>
      <c r="AG41" s="337" t="s">
        <v>264</v>
      </c>
      <c r="AH41" s="337" t="s">
        <v>265</v>
      </c>
      <c r="AI41" s="337" t="s">
        <v>266</v>
      </c>
      <c r="AJ41" s="337" t="s">
        <v>267</v>
      </c>
      <c r="AK41" s="337" t="s">
        <v>268</v>
      </c>
      <c r="AL41" s="337" t="s">
        <v>269</v>
      </c>
      <c r="AM41" s="337" t="s">
        <v>270</v>
      </c>
      <c r="AN41" s="337" t="s">
        <v>271</v>
      </c>
      <c r="AO41" s="337" t="s">
        <v>272</v>
      </c>
      <c r="AP41" s="337" t="s">
        <v>273</v>
      </c>
      <c r="AQ41" s="337" t="s">
        <v>274</v>
      </c>
      <c r="AR41" s="337" t="s">
        <v>275</v>
      </c>
      <c r="AS41" s="337" t="s">
        <v>276</v>
      </c>
      <c r="AT41" s="337" t="s">
        <v>277</v>
      </c>
      <c r="AU41" s="403" t="s">
        <v>341</v>
      </c>
      <c r="AV41" s="403" t="s">
        <v>342</v>
      </c>
      <c r="AW41" s="404" t="s">
        <v>295</v>
      </c>
      <c r="AX41" s="404" t="s">
        <v>343</v>
      </c>
      <c r="AY41" s="404" t="s">
        <v>296</v>
      </c>
    </row>
    <row r="42" spans="1:51" ht="20.100000000000001" customHeight="1">
      <c r="V42" s="405" t="s">
        <v>213</v>
      </c>
      <c r="W42" s="364" t="s">
        <v>297</v>
      </c>
      <c r="X42" s="406"/>
      <c r="Y42" s="406"/>
      <c r="Z42" s="406"/>
      <c r="AA42" s="406"/>
      <c r="AB42" s="406"/>
      <c r="AC42" s="406"/>
      <c r="AD42" s="406"/>
      <c r="AE42" s="406"/>
      <c r="AF42" s="406"/>
      <c r="AG42" s="406"/>
      <c r="AH42" s="406"/>
      <c r="AI42" s="406"/>
      <c r="AJ42" s="406"/>
      <c r="AK42" s="406"/>
      <c r="AL42" s="406"/>
      <c r="AM42" s="406"/>
      <c r="AN42" s="406"/>
      <c r="AO42" s="406"/>
      <c r="AP42" s="406"/>
      <c r="AQ42" s="406"/>
      <c r="AR42" s="406"/>
      <c r="AS42" s="406"/>
      <c r="AT42" s="406"/>
      <c r="AU42" s="338"/>
      <c r="AV42" s="338"/>
      <c r="AW42" s="404"/>
      <c r="AX42" s="404"/>
      <c r="AY42" s="404"/>
    </row>
    <row r="43" spans="1:51" ht="20.100000000000001" customHeight="1">
      <c r="T43" s="335"/>
      <c r="U43" s="312">
        <f>SUM(X43:Z43)</f>
        <v>6.8364910457771728</v>
      </c>
      <c r="V43" s="407">
        <v>1</v>
      </c>
      <c r="W43" s="363" t="s">
        <v>298</v>
      </c>
      <c r="X43" s="408">
        <f>C7</f>
        <v>5.4691928366217386</v>
      </c>
      <c r="Y43" s="408">
        <f>C8</f>
        <v>0.68364910457771733</v>
      </c>
      <c r="Z43" s="408">
        <f>C9+C10</f>
        <v>0.68364910457771733</v>
      </c>
      <c r="AA43" s="408"/>
      <c r="AB43" s="408">
        <f t="shared" ref="AB43:AR43" si="21">+AB27+AB28</f>
        <v>0</v>
      </c>
      <c r="AC43" s="408">
        <f t="shared" si="21"/>
        <v>0</v>
      </c>
      <c r="AD43" s="408">
        <f t="shared" si="21"/>
        <v>0</v>
      </c>
      <c r="AE43" s="408">
        <f t="shared" si="21"/>
        <v>0</v>
      </c>
      <c r="AF43" s="408">
        <f t="shared" si="21"/>
        <v>0</v>
      </c>
      <c r="AG43" s="408">
        <f t="shared" si="21"/>
        <v>0</v>
      </c>
      <c r="AH43" s="408">
        <f t="shared" si="21"/>
        <v>0</v>
      </c>
      <c r="AI43" s="408">
        <f t="shared" si="21"/>
        <v>0</v>
      </c>
      <c r="AJ43" s="408">
        <f t="shared" si="21"/>
        <v>0</v>
      </c>
      <c r="AK43" s="408">
        <f t="shared" si="21"/>
        <v>0</v>
      </c>
      <c r="AL43" s="408">
        <f t="shared" si="21"/>
        <v>0</v>
      </c>
      <c r="AM43" s="408">
        <f t="shared" si="21"/>
        <v>0</v>
      </c>
      <c r="AN43" s="408">
        <f t="shared" si="21"/>
        <v>0</v>
      </c>
      <c r="AO43" s="408">
        <f t="shared" si="21"/>
        <v>0</v>
      </c>
      <c r="AP43" s="408">
        <f t="shared" si="21"/>
        <v>0</v>
      </c>
      <c r="AQ43" s="408">
        <f t="shared" si="21"/>
        <v>0</v>
      </c>
      <c r="AR43" s="408">
        <f t="shared" si="21"/>
        <v>0</v>
      </c>
      <c r="AS43" s="312">
        <f>-SUM(X43:Y43)*0</f>
        <v>0</v>
      </c>
      <c r="AT43" s="312">
        <f>-SUM(Y43:Z43)*0</f>
        <v>0</v>
      </c>
      <c r="AU43" s="409"/>
      <c r="AV43" s="409"/>
    </row>
    <row r="44" spans="1:51" ht="20.100000000000001" customHeight="1">
      <c r="C44" s="312">
        <f>C32</f>
        <v>0</v>
      </c>
      <c r="V44" s="407"/>
      <c r="W44" s="363"/>
      <c r="X44" s="408"/>
      <c r="Y44" s="408">
        <f>G50*0</f>
        <v>0</v>
      </c>
      <c r="Z44" s="408">
        <f>+Z31</f>
        <v>0</v>
      </c>
      <c r="AA44" s="408"/>
      <c r="AB44" s="408"/>
      <c r="AC44" s="408"/>
      <c r="AD44" s="408"/>
      <c r="AE44" s="408"/>
      <c r="AF44" s="408"/>
      <c r="AG44" s="408"/>
      <c r="AH44" s="408"/>
      <c r="AI44" s="408"/>
      <c r="AJ44" s="408"/>
      <c r="AK44" s="408"/>
      <c r="AL44" s="408"/>
      <c r="AM44" s="408"/>
      <c r="AN44" s="408"/>
      <c r="AO44" s="408"/>
      <c r="AP44" s="408"/>
      <c r="AQ44" s="408"/>
      <c r="AR44" s="408"/>
      <c r="AS44" s="408"/>
      <c r="AT44" s="408"/>
      <c r="AU44" s="409"/>
      <c r="AV44" s="409"/>
    </row>
    <row r="45" spans="1:51" ht="20.100000000000001" customHeight="1">
      <c r="V45" s="410"/>
      <c r="W45" s="411"/>
      <c r="AA45" s="312">
        <f>D13</f>
        <v>0</v>
      </c>
      <c r="AU45" s="409"/>
      <c r="AV45" s="409"/>
    </row>
    <row r="46" spans="1:51" ht="20.100000000000001" customHeight="1">
      <c r="V46" s="407">
        <v>2</v>
      </c>
      <c r="W46" s="363" t="s">
        <v>291</v>
      </c>
      <c r="X46" s="408">
        <f t="shared" ref="X46:AS46" si="22">+X11</f>
        <v>0</v>
      </c>
      <c r="Y46" s="408">
        <f t="shared" si="22"/>
        <v>0</v>
      </c>
      <c r="Z46" s="408">
        <f t="shared" si="22"/>
        <v>16.800472924659676</v>
      </c>
      <c r="AA46" s="408">
        <f t="shared" si="22"/>
        <v>42.172560631679559</v>
      </c>
      <c r="AB46" s="408">
        <f t="shared" si="22"/>
        <v>42.218847506459433</v>
      </c>
      <c r="AC46" s="408">
        <f t="shared" si="22"/>
        <v>42.283374795357837</v>
      </c>
      <c r="AD46" s="408">
        <f t="shared" si="22"/>
        <v>42.342000507721806</v>
      </c>
      <c r="AE46" s="408">
        <f t="shared" si="22"/>
        <v>42.395609880031508</v>
      </c>
      <c r="AF46" s="408">
        <f t="shared" si="22"/>
        <v>42.444955363295072</v>
      </c>
      <c r="AG46" s="408">
        <f t="shared" si="22"/>
        <v>42.490676540869437</v>
      </c>
      <c r="AH46" s="408">
        <f t="shared" si="22"/>
        <v>42.533317058607963</v>
      </c>
      <c r="AI46" s="408">
        <f t="shared" si="22"/>
        <v>42.573339015486049</v>
      </c>
      <c r="AJ46" s="408">
        <f t="shared" si="22"/>
        <v>42.611135195632741</v>
      </c>
      <c r="AK46" s="408">
        <f t="shared" si="22"/>
        <v>42.647039465557761</v>
      </c>
      <c r="AL46" s="408">
        <f t="shared" si="22"/>
        <v>42.681335611794346</v>
      </c>
      <c r="AM46" s="408">
        <f t="shared" si="22"/>
        <v>42.689081407560266</v>
      </c>
      <c r="AN46" s="408">
        <f t="shared" si="22"/>
        <v>42.695665333961301</v>
      </c>
      <c r="AO46" s="408">
        <f t="shared" si="22"/>
        <v>42.701261671402172</v>
      </c>
      <c r="AP46" s="408">
        <f t="shared" si="22"/>
        <v>42.706018558226923</v>
      </c>
      <c r="AQ46" s="408">
        <f t="shared" si="22"/>
        <v>42.710061912027953</v>
      </c>
      <c r="AR46" s="408">
        <f t="shared" si="22"/>
        <v>42.714337366238162</v>
      </c>
      <c r="AS46" s="408">
        <f t="shared" si="22"/>
        <v>42.732974250233809</v>
      </c>
      <c r="AT46" s="408">
        <f>+AT11</f>
        <v>21.366487125116905</v>
      </c>
      <c r="AU46" s="409"/>
      <c r="AV46" s="409"/>
    </row>
    <row r="47" spans="1:51" ht="20.100000000000001" customHeight="1">
      <c r="C47" s="363" t="s">
        <v>297</v>
      </c>
      <c r="D47" s="363" t="s">
        <v>299</v>
      </c>
      <c r="E47" s="363" t="s">
        <v>344</v>
      </c>
      <c r="F47" s="363" t="s">
        <v>345</v>
      </c>
      <c r="G47" s="363" t="s">
        <v>344</v>
      </c>
      <c r="V47" s="405" t="s">
        <v>81</v>
      </c>
      <c r="W47" s="364" t="s">
        <v>299</v>
      </c>
      <c r="X47" s="408"/>
      <c r="Y47" s="408"/>
      <c r="Z47" s="408"/>
      <c r="AA47" s="408"/>
      <c r="AB47" s="408"/>
      <c r="AC47" s="408"/>
      <c r="AD47" s="408"/>
      <c r="AE47" s="408"/>
      <c r="AF47" s="408"/>
      <c r="AG47" s="408"/>
      <c r="AH47" s="408"/>
      <c r="AI47" s="408"/>
      <c r="AJ47" s="408"/>
      <c r="AK47" s="408"/>
      <c r="AL47" s="408"/>
      <c r="AM47" s="408"/>
      <c r="AN47" s="408"/>
      <c r="AO47" s="408"/>
      <c r="AP47" s="408"/>
      <c r="AQ47" s="408"/>
      <c r="AR47" s="408"/>
      <c r="AS47" s="408"/>
      <c r="AT47" s="408"/>
      <c r="AU47" s="409"/>
      <c r="AV47" s="409"/>
    </row>
    <row r="48" spans="1:51" ht="27.75" customHeight="1">
      <c r="B48" s="312">
        <v>1</v>
      </c>
      <c r="C48" s="312">
        <f>C7</f>
        <v>5.4691928366217386</v>
      </c>
      <c r="E48" s="312">
        <f>D48-C48</f>
        <v>-5.4691928366217386</v>
      </c>
      <c r="F48" s="312">
        <f>X11</f>
        <v>0</v>
      </c>
      <c r="G48" s="312">
        <f>E48-F48</f>
        <v>-5.4691928366217386</v>
      </c>
      <c r="V48" s="407">
        <v>1</v>
      </c>
      <c r="W48" s="363" t="s">
        <v>300</v>
      </c>
      <c r="X48" s="412">
        <f t="shared" ref="X48:AS48" si="23">+X20</f>
        <v>0</v>
      </c>
      <c r="Y48" s="412">
        <f t="shared" si="23"/>
        <v>0</v>
      </c>
      <c r="Z48" s="412">
        <f t="shared" si="23"/>
        <v>48.915950378014898</v>
      </c>
      <c r="AA48" s="412">
        <f t="shared" si="23"/>
        <v>122.28987594503724</v>
      </c>
      <c r="AB48" s="412">
        <f t="shared" si="23"/>
        <v>122.28987594503724</v>
      </c>
      <c r="AC48" s="412">
        <f t="shared" si="23"/>
        <v>122.28987594503724</v>
      </c>
      <c r="AD48" s="412">
        <f t="shared" si="23"/>
        <v>122.28987594503724</v>
      </c>
      <c r="AE48" s="412">
        <f t="shared" si="23"/>
        <v>122.28987594503724</v>
      </c>
      <c r="AF48" s="412">
        <f t="shared" si="23"/>
        <v>122.28987594503724</v>
      </c>
      <c r="AG48" s="412">
        <f t="shared" si="23"/>
        <v>122.28987594503724</v>
      </c>
      <c r="AH48" s="412">
        <f t="shared" si="23"/>
        <v>122.28987594503724</v>
      </c>
      <c r="AI48" s="412">
        <f t="shared" si="23"/>
        <v>122.28987594503724</v>
      </c>
      <c r="AJ48" s="412">
        <f t="shared" si="23"/>
        <v>122.28987594503724</v>
      </c>
      <c r="AK48" s="412">
        <f t="shared" si="23"/>
        <v>122.28987594503724</v>
      </c>
      <c r="AL48" s="412">
        <f t="shared" si="23"/>
        <v>122.28987594503724</v>
      </c>
      <c r="AM48" s="412">
        <f t="shared" si="23"/>
        <v>122.28987594503724</v>
      </c>
      <c r="AN48" s="412">
        <f t="shared" si="23"/>
        <v>122.28987594503724</v>
      </c>
      <c r="AO48" s="412">
        <f t="shared" si="23"/>
        <v>122.28987594503724</v>
      </c>
      <c r="AP48" s="412">
        <f t="shared" si="23"/>
        <v>122.28987594503724</v>
      </c>
      <c r="AQ48" s="412">
        <f t="shared" si="23"/>
        <v>122.28987594503724</v>
      </c>
      <c r="AR48" s="412">
        <f t="shared" si="23"/>
        <v>122.28987594503724</v>
      </c>
      <c r="AS48" s="412">
        <f t="shared" si="23"/>
        <v>122.28987594503724</v>
      </c>
      <c r="AT48" s="412">
        <f>+AT20</f>
        <v>61.144937972518619</v>
      </c>
      <c r="AU48" s="413"/>
      <c r="AV48" s="413"/>
    </row>
    <row r="49" spans="1:50" ht="20.100000000000001" customHeight="1">
      <c r="B49" s="312">
        <f>B48+1</f>
        <v>2</v>
      </c>
      <c r="C49" s="312">
        <f>C8</f>
        <v>0.68364910457771733</v>
      </c>
      <c r="D49" s="312">
        <f>$D$16/3</f>
        <v>0.2807831102463354</v>
      </c>
      <c r="E49" s="312">
        <f t="shared" ref="E49:E60" si="24">D49-C49</f>
        <v>-0.40286599433138193</v>
      </c>
      <c r="F49" s="312">
        <f>Y11</f>
        <v>0</v>
      </c>
      <c r="G49" s="312">
        <f t="shared" ref="G49:G60" si="25">E49-F49</f>
        <v>-0.40286599433138193</v>
      </c>
      <c r="U49" s="312">
        <f>SUM(X49:AB49)</f>
        <v>0.8423493307390062</v>
      </c>
      <c r="V49" s="407">
        <v>2</v>
      </c>
      <c r="W49" s="363" t="s">
        <v>389</v>
      </c>
      <c r="X49" s="414"/>
      <c r="Y49" s="412">
        <f>+$D$16/2</f>
        <v>0.4211746653695031</v>
      </c>
      <c r="Z49" s="412">
        <f>+$D$16/2</f>
        <v>0.4211746653695031</v>
      </c>
      <c r="AA49" s="412"/>
      <c r="AB49" s="414"/>
      <c r="AC49" s="414"/>
      <c r="AD49" s="414"/>
      <c r="AE49" s="414"/>
      <c r="AF49" s="414"/>
      <c r="AG49" s="414"/>
      <c r="AH49" s="414"/>
      <c r="AI49" s="414"/>
      <c r="AJ49" s="414"/>
      <c r="AK49" s="414"/>
      <c r="AL49" s="414"/>
      <c r="AM49" s="414"/>
      <c r="AN49" s="414"/>
      <c r="AO49" s="414"/>
      <c r="AP49" s="414"/>
      <c r="AQ49" s="414"/>
      <c r="AR49" s="414"/>
      <c r="AS49" s="414"/>
      <c r="AT49" s="414"/>
      <c r="AU49" s="413"/>
      <c r="AV49" s="413"/>
    </row>
    <row r="50" spans="1:50" ht="20.100000000000001" customHeight="1">
      <c r="B50" s="312">
        <f t="shared" ref="B50:B60" si="26">B49+1</f>
        <v>3</v>
      </c>
      <c r="C50" s="312">
        <f>C9</f>
        <v>0</v>
      </c>
      <c r="D50" s="312">
        <f>$D$16/3</f>
        <v>0.2807831102463354</v>
      </c>
      <c r="E50" s="312">
        <f t="shared" si="24"/>
        <v>0.2807831102463354</v>
      </c>
      <c r="F50" s="312">
        <f>Z11</f>
        <v>16.800472924659676</v>
      </c>
      <c r="G50" s="312">
        <f t="shared" si="25"/>
        <v>-16.51968981441334</v>
      </c>
      <c r="V50" s="407"/>
      <c r="W50" s="363"/>
      <c r="X50" s="363"/>
      <c r="Y50" s="363">
        <v>0</v>
      </c>
      <c r="Z50" s="363"/>
      <c r="AA50" s="363"/>
      <c r="AB50" s="363"/>
      <c r="AC50" s="363"/>
      <c r="AD50" s="363"/>
      <c r="AE50" s="363"/>
      <c r="AF50" s="363"/>
      <c r="AG50" s="363"/>
      <c r="AH50" s="363"/>
      <c r="AI50" s="363"/>
      <c r="AJ50" s="363"/>
      <c r="AK50" s="363"/>
      <c r="AL50" s="363"/>
      <c r="AM50" s="363"/>
      <c r="AN50" s="363"/>
      <c r="AO50" s="363"/>
      <c r="AP50" s="363"/>
      <c r="AQ50" s="363"/>
      <c r="AR50" s="363"/>
      <c r="AS50" s="363"/>
      <c r="AT50" s="363"/>
      <c r="AU50" s="413"/>
      <c r="AV50" s="413"/>
    </row>
    <row r="51" spans="1:50" ht="20.100000000000001" customHeight="1">
      <c r="B51" s="312">
        <f t="shared" si="26"/>
        <v>4</v>
      </c>
      <c r="C51" s="312">
        <f>C10+D13</f>
        <v>0.68364910457771733</v>
      </c>
      <c r="D51" s="312">
        <v>4.3323586401637204</v>
      </c>
      <c r="E51" s="312">
        <f t="shared" si="24"/>
        <v>3.6487095355860033</v>
      </c>
      <c r="F51" s="312">
        <f>AA11</f>
        <v>42.172560631679559</v>
      </c>
      <c r="G51" s="312">
        <f t="shared" si="25"/>
        <v>-38.523851096093559</v>
      </c>
      <c r="V51" s="405" t="s">
        <v>236</v>
      </c>
      <c r="W51" s="364" t="s">
        <v>301</v>
      </c>
      <c r="X51" s="414"/>
      <c r="Y51" s="414"/>
      <c r="Z51" s="414"/>
      <c r="AA51" s="414"/>
      <c r="AB51" s="414"/>
      <c r="AC51" s="414"/>
      <c r="AD51" s="414"/>
      <c r="AE51" s="414"/>
      <c r="AF51" s="414"/>
      <c r="AG51" s="414"/>
      <c r="AH51" s="414"/>
      <c r="AI51" s="414"/>
      <c r="AJ51" s="414"/>
      <c r="AK51" s="414"/>
      <c r="AL51" s="414"/>
      <c r="AM51" s="414"/>
      <c r="AN51" s="414"/>
      <c r="AO51" s="414"/>
      <c r="AP51" s="414"/>
      <c r="AQ51" s="414"/>
      <c r="AR51" s="414"/>
      <c r="AS51" s="414"/>
      <c r="AT51" s="414"/>
      <c r="AU51" s="409">
        <f>NPV(0.1,X52:AT52)</f>
        <v>806.74746539989667</v>
      </c>
      <c r="AV51" s="409"/>
      <c r="AW51" s="308">
        <f>IRR(X52:AT52)</f>
        <v>3.014922119233689</v>
      </c>
      <c r="AX51" s="308"/>
    </row>
    <row r="52" spans="1:50" ht="20.100000000000001" customHeight="1">
      <c r="B52" s="312">
        <f t="shared" si="26"/>
        <v>5</v>
      </c>
      <c r="D52" s="312">
        <v>0</v>
      </c>
      <c r="E52" s="312">
        <f t="shared" si="24"/>
        <v>0</v>
      </c>
      <c r="F52" s="312">
        <f>AB11</f>
        <v>42.218847506459433</v>
      </c>
      <c r="G52" s="312">
        <f t="shared" si="25"/>
        <v>-42.218847506459433</v>
      </c>
      <c r="V52" s="407">
        <v>1</v>
      </c>
      <c r="W52" s="363" t="s">
        <v>302</v>
      </c>
      <c r="X52" s="415">
        <f>+X48+X49-X43-X44</f>
        <v>-5.4691928366217386</v>
      </c>
      <c r="Y52" s="415">
        <f>+Y48+Y49+Y45-Y43-Y44</f>
        <v>-0.26247443920821423</v>
      </c>
      <c r="Z52" s="408">
        <f>+Z48+Z49+Z45-Z43-Z44</f>
        <v>48.653475938806686</v>
      </c>
      <c r="AA52" s="408">
        <f>+AA48+AA49-AA45-AA43-AA44</f>
        <v>122.28987594503724</v>
      </c>
      <c r="AB52" s="408">
        <f t="shared" ref="AB52:AS52" si="27">+AB48+AB49+AB45-AB43-AB44</f>
        <v>122.28987594503724</v>
      </c>
      <c r="AC52" s="408">
        <f t="shared" si="27"/>
        <v>122.28987594503724</v>
      </c>
      <c r="AD52" s="408">
        <f t="shared" si="27"/>
        <v>122.28987594503724</v>
      </c>
      <c r="AE52" s="408">
        <f t="shared" si="27"/>
        <v>122.28987594503724</v>
      </c>
      <c r="AF52" s="408">
        <f t="shared" si="27"/>
        <v>122.28987594503724</v>
      </c>
      <c r="AG52" s="408">
        <f t="shared" si="27"/>
        <v>122.28987594503724</v>
      </c>
      <c r="AH52" s="408">
        <f t="shared" si="27"/>
        <v>122.28987594503724</v>
      </c>
      <c r="AI52" s="408">
        <f t="shared" si="27"/>
        <v>122.28987594503724</v>
      </c>
      <c r="AJ52" s="408">
        <f t="shared" si="27"/>
        <v>122.28987594503724</v>
      </c>
      <c r="AK52" s="408">
        <f t="shared" si="27"/>
        <v>122.28987594503724</v>
      </c>
      <c r="AL52" s="408">
        <f t="shared" si="27"/>
        <v>122.28987594503724</v>
      </c>
      <c r="AM52" s="408">
        <f t="shared" si="27"/>
        <v>122.28987594503724</v>
      </c>
      <c r="AN52" s="408">
        <f t="shared" si="27"/>
        <v>122.28987594503724</v>
      </c>
      <c r="AO52" s="408">
        <f t="shared" si="27"/>
        <v>122.28987594503724</v>
      </c>
      <c r="AP52" s="408">
        <f t="shared" si="27"/>
        <v>122.28987594503724</v>
      </c>
      <c r="AQ52" s="408">
        <f t="shared" si="27"/>
        <v>122.28987594503724</v>
      </c>
      <c r="AR52" s="408">
        <f t="shared" si="27"/>
        <v>122.28987594503724</v>
      </c>
      <c r="AS52" s="408">
        <f t="shared" si="27"/>
        <v>122.28987594503724</v>
      </c>
      <c r="AT52" s="408">
        <f>+AT48+AT49+AT45-AT43-AT44</f>
        <v>61.144937972518619</v>
      </c>
      <c r="AV52" s="409">
        <f>NPV(0.1,X53:AT53)</f>
        <v>524.92889366153429</v>
      </c>
      <c r="AX52" s="308">
        <f>IRR(X53:AT53)</f>
        <v>2.4216185270831239</v>
      </c>
    </row>
    <row r="53" spans="1:50" ht="20.100000000000001" customHeight="1">
      <c r="B53" s="312">
        <f t="shared" si="26"/>
        <v>6</v>
      </c>
      <c r="D53" s="312">
        <v>0</v>
      </c>
      <c r="E53" s="312">
        <f t="shared" si="24"/>
        <v>0</v>
      </c>
      <c r="F53" s="312">
        <f>AC11</f>
        <v>42.283374795357837</v>
      </c>
      <c r="G53" s="312">
        <f t="shared" si="25"/>
        <v>-42.283374795357837</v>
      </c>
      <c r="V53" s="407">
        <v>2</v>
      </c>
      <c r="W53" s="363" t="s">
        <v>303</v>
      </c>
      <c r="X53" s="416">
        <f>+X52-X46-X45</f>
        <v>-5.4691928366217386</v>
      </c>
      <c r="Y53" s="416">
        <f>+Y52-Y46-Y45</f>
        <v>-0.26247443920821423</v>
      </c>
      <c r="Z53" s="416">
        <f>+Z52-Z46-Z45</f>
        <v>31.85300301414701</v>
      </c>
      <c r="AA53" s="416">
        <f>+AA52-AA46</f>
        <v>80.117315313357679</v>
      </c>
      <c r="AB53" s="416">
        <f t="shared" ref="AB53:AS53" si="28">+AB52-AB46-AB45</f>
        <v>80.071028438577798</v>
      </c>
      <c r="AC53" s="416">
        <f t="shared" si="28"/>
        <v>80.006501149679394</v>
      </c>
      <c r="AD53" s="416">
        <f t="shared" si="28"/>
        <v>79.947875437315432</v>
      </c>
      <c r="AE53" s="416">
        <f t="shared" si="28"/>
        <v>79.894266065005723</v>
      </c>
      <c r="AF53" s="416">
        <f t="shared" si="28"/>
        <v>79.844920581742173</v>
      </c>
      <c r="AG53" s="416">
        <f t="shared" si="28"/>
        <v>79.799199404167808</v>
      </c>
      <c r="AH53" s="416">
        <f t="shared" si="28"/>
        <v>79.756558886429275</v>
      </c>
      <c r="AI53" s="416">
        <f t="shared" si="28"/>
        <v>79.716536929551182</v>
      </c>
      <c r="AJ53" s="416">
        <f t="shared" si="28"/>
        <v>79.678740749404497</v>
      </c>
      <c r="AK53" s="416">
        <f t="shared" si="28"/>
        <v>79.642836479479485</v>
      </c>
      <c r="AL53" s="416">
        <f t="shared" si="28"/>
        <v>79.6085403332429</v>
      </c>
      <c r="AM53" s="416">
        <f t="shared" si="28"/>
        <v>79.600794537476972</v>
      </c>
      <c r="AN53" s="416">
        <f t="shared" si="28"/>
        <v>79.594210611075937</v>
      </c>
      <c r="AO53" s="416">
        <f t="shared" si="28"/>
        <v>79.588614273635073</v>
      </c>
      <c r="AP53" s="416">
        <f t="shared" si="28"/>
        <v>79.583857386810308</v>
      </c>
      <c r="AQ53" s="416">
        <f t="shared" si="28"/>
        <v>79.579814033009285</v>
      </c>
      <c r="AR53" s="416">
        <f t="shared" si="28"/>
        <v>79.575538578799069</v>
      </c>
      <c r="AS53" s="416">
        <f t="shared" si="28"/>
        <v>79.556901694803429</v>
      </c>
      <c r="AT53" s="416">
        <f>+AT52-AT46-AT45</f>
        <v>39.778450847401714</v>
      </c>
      <c r="AU53" s="313"/>
      <c r="AV53" s="313"/>
      <c r="AX53" s="308"/>
    </row>
    <row r="54" spans="1:50" ht="20.100000000000001" customHeight="1">
      <c r="B54" s="312">
        <f t="shared" si="26"/>
        <v>7</v>
      </c>
      <c r="D54" s="312">
        <v>0</v>
      </c>
      <c r="E54" s="312">
        <f t="shared" si="24"/>
        <v>0</v>
      </c>
      <c r="F54" s="312">
        <f>AD11</f>
        <v>42.342000507721806</v>
      </c>
      <c r="G54" s="312">
        <f t="shared" si="25"/>
        <v>-42.342000507721806</v>
      </c>
      <c r="V54" s="405" t="s">
        <v>304</v>
      </c>
      <c r="W54" s="364" t="s">
        <v>388</v>
      </c>
      <c r="X54" s="363"/>
      <c r="Y54" s="363"/>
      <c r="Z54" s="363"/>
      <c r="AA54" s="363"/>
      <c r="AB54" s="363"/>
      <c r="AC54" s="363"/>
      <c r="AD54" s="363"/>
      <c r="AE54" s="363"/>
      <c r="AF54" s="363"/>
      <c r="AG54" s="363"/>
      <c r="AH54" s="363"/>
      <c r="AI54" s="363"/>
      <c r="AJ54" s="363"/>
      <c r="AK54" s="363"/>
      <c r="AL54" s="363"/>
      <c r="AM54" s="363"/>
      <c r="AN54" s="363"/>
      <c r="AO54" s="363"/>
      <c r="AP54" s="363"/>
      <c r="AQ54" s="363"/>
      <c r="AR54" s="363"/>
      <c r="AS54" s="363"/>
      <c r="AT54" s="363"/>
      <c r="AU54" s="313"/>
      <c r="AV54" s="313"/>
      <c r="AX54" s="308"/>
    </row>
    <row r="55" spans="1:50" ht="20.100000000000001" customHeight="1">
      <c r="B55" s="312">
        <f t="shared" si="26"/>
        <v>8</v>
      </c>
      <c r="D55" s="312">
        <v>0</v>
      </c>
      <c r="E55" s="312">
        <f t="shared" si="24"/>
        <v>0</v>
      </c>
      <c r="F55" s="312">
        <f>AE11</f>
        <v>42.395609880031508</v>
      </c>
      <c r="G55" s="312">
        <f t="shared" si="25"/>
        <v>-42.395609880031508</v>
      </c>
      <c r="V55" s="417">
        <v>1</v>
      </c>
      <c r="W55" s="363" t="s">
        <v>302</v>
      </c>
      <c r="X55" s="363">
        <f>AR55</f>
        <v>806.74746539989667</v>
      </c>
      <c r="Y55" s="363"/>
      <c r="Z55" s="363"/>
      <c r="AA55" s="363"/>
      <c r="AB55" s="363"/>
      <c r="AC55" s="363"/>
      <c r="AD55" s="363"/>
      <c r="AE55" s="363"/>
      <c r="AF55" s="363"/>
      <c r="AG55" s="363"/>
      <c r="AH55" s="363"/>
      <c r="AI55" s="363"/>
      <c r="AJ55" s="363"/>
      <c r="AK55" s="363"/>
      <c r="AL55" s="363"/>
      <c r="AM55" s="363"/>
      <c r="AN55" s="363"/>
      <c r="AO55" s="363"/>
      <c r="AP55" s="363"/>
      <c r="AQ55" s="363"/>
      <c r="AR55" s="416">
        <f>+AU51</f>
        <v>806.74746539989667</v>
      </c>
      <c r="AU55" s="313"/>
      <c r="AV55" s="313"/>
      <c r="AX55" s="308"/>
    </row>
    <row r="56" spans="1:50" ht="20.100000000000001" customHeight="1">
      <c r="B56" s="312">
        <f t="shared" si="26"/>
        <v>9</v>
      </c>
      <c r="D56" s="312">
        <v>0</v>
      </c>
      <c r="E56" s="312">
        <f t="shared" si="24"/>
        <v>0</v>
      </c>
      <c r="F56" s="312">
        <f>AF11</f>
        <v>42.444955363295072</v>
      </c>
      <c r="G56" s="312">
        <f t="shared" si="25"/>
        <v>-42.444955363295072</v>
      </c>
      <c r="V56" s="407">
        <v>2</v>
      </c>
      <c r="W56" s="363" t="s">
        <v>305</v>
      </c>
      <c r="X56" s="363">
        <f>AR56</f>
        <v>524.92889366153429</v>
      </c>
      <c r="Y56" s="363"/>
      <c r="Z56" s="363"/>
      <c r="AA56" s="363"/>
      <c r="AB56" s="363"/>
      <c r="AC56" s="363"/>
      <c r="AD56" s="363"/>
      <c r="AE56" s="363"/>
      <c r="AF56" s="363"/>
      <c r="AG56" s="363"/>
      <c r="AH56" s="363"/>
      <c r="AI56" s="363"/>
      <c r="AJ56" s="363"/>
      <c r="AK56" s="363"/>
      <c r="AL56" s="363"/>
      <c r="AM56" s="363"/>
      <c r="AN56" s="363"/>
      <c r="AO56" s="363"/>
      <c r="AP56" s="363"/>
      <c r="AQ56" s="363"/>
      <c r="AR56" s="416">
        <f>+AV52</f>
        <v>524.92889366153429</v>
      </c>
      <c r="AU56" s="313"/>
      <c r="AV56" s="313"/>
      <c r="AX56" s="308"/>
    </row>
    <row r="57" spans="1:50" ht="20.100000000000001" customHeight="1">
      <c r="B57" s="312">
        <f t="shared" si="26"/>
        <v>10</v>
      </c>
      <c r="D57" s="312">
        <v>0</v>
      </c>
      <c r="E57" s="312">
        <f t="shared" si="24"/>
        <v>0</v>
      </c>
      <c r="F57" s="312">
        <f>AG11</f>
        <v>42.490676540869437</v>
      </c>
      <c r="G57" s="312">
        <f t="shared" si="25"/>
        <v>-42.490676540869437</v>
      </c>
      <c r="V57" s="405" t="s">
        <v>306</v>
      </c>
      <c r="W57" s="364" t="s">
        <v>307</v>
      </c>
      <c r="X57" s="363"/>
      <c r="Y57" s="363"/>
      <c r="Z57" s="363"/>
      <c r="AA57" s="363"/>
      <c r="AB57" s="363"/>
      <c r="AC57" s="363"/>
      <c r="AD57" s="363"/>
      <c r="AE57" s="363"/>
      <c r="AF57" s="363"/>
      <c r="AG57" s="363"/>
      <c r="AH57" s="363"/>
      <c r="AI57" s="363"/>
      <c r="AJ57" s="363"/>
      <c r="AK57" s="363"/>
      <c r="AL57" s="363"/>
      <c r="AM57" s="363"/>
      <c r="AN57" s="363"/>
      <c r="AO57" s="363"/>
      <c r="AP57" s="363"/>
      <c r="AQ57" s="363"/>
      <c r="AR57" s="363"/>
      <c r="AU57" s="313"/>
      <c r="AV57" s="313"/>
      <c r="AX57" s="308"/>
    </row>
    <row r="58" spans="1:50" ht="20.100000000000001" customHeight="1">
      <c r="B58" s="312">
        <f t="shared" si="26"/>
        <v>11</v>
      </c>
      <c r="D58" s="312">
        <v>0</v>
      </c>
      <c r="E58" s="312">
        <f t="shared" si="24"/>
        <v>0</v>
      </c>
      <c r="F58" s="312">
        <f>AH11</f>
        <v>42.533317058607963</v>
      </c>
      <c r="G58" s="312">
        <f t="shared" si="25"/>
        <v>-42.533317058607963</v>
      </c>
      <c r="V58" s="407">
        <v>1</v>
      </c>
      <c r="W58" s="363" t="s">
        <v>302</v>
      </c>
      <c r="X58" s="309">
        <f>AR58</f>
        <v>3.014922119233689</v>
      </c>
      <c r="Y58" s="363"/>
      <c r="Z58" s="363"/>
      <c r="AA58" s="363"/>
      <c r="AB58" s="363"/>
      <c r="AC58" s="363"/>
      <c r="AD58" s="363"/>
      <c r="AE58" s="363"/>
      <c r="AF58" s="363"/>
      <c r="AG58" s="363"/>
      <c r="AH58" s="363"/>
      <c r="AI58" s="363"/>
      <c r="AJ58" s="363"/>
      <c r="AK58" s="363"/>
      <c r="AL58" s="363"/>
      <c r="AM58" s="363"/>
      <c r="AN58" s="363"/>
      <c r="AO58" s="363"/>
      <c r="AP58" s="363"/>
      <c r="AQ58" s="363"/>
      <c r="AR58" s="309">
        <f>+AW51</f>
        <v>3.014922119233689</v>
      </c>
      <c r="AU58" s="313"/>
      <c r="AV58" s="313"/>
    </row>
    <row r="59" spans="1:50" ht="20.100000000000001" customHeight="1">
      <c r="A59" s="311"/>
      <c r="B59" s="312">
        <f t="shared" si="26"/>
        <v>12</v>
      </c>
      <c r="C59" s="321"/>
      <c r="D59" s="312">
        <v>0</v>
      </c>
      <c r="E59" s="312">
        <f t="shared" si="24"/>
        <v>0</v>
      </c>
      <c r="F59" s="312">
        <f>AI11</f>
        <v>42.573339015486049</v>
      </c>
      <c r="G59" s="312">
        <f t="shared" si="25"/>
        <v>-42.573339015486049</v>
      </c>
      <c r="V59" s="418">
        <v>2</v>
      </c>
      <c r="W59" s="419" t="s">
        <v>305</v>
      </c>
      <c r="X59" s="420">
        <f>AR59</f>
        <v>2.4216185270831239</v>
      </c>
      <c r="Y59" s="421"/>
      <c r="Z59" s="419"/>
      <c r="AA59" s="419"/>
      <c r="AB59" s="419"/>
      <c r="AC59" s="419"/>
      <c r="AD59" s="419"/>
      <c r="AE59" s="419"/>
      <c r="AF59" s="419"/>
      <c r="AG59" s="419"/>
      <c r="AH59" s="419"/>
      <c r="AI59" s="419"/>
      <c r="AJ59" s="419"/>
      <c r="AK59" s="419"/>
      <c r="AL59" s="419"/>
      <c r="AM59" s="419"/>
      <c r="AN59" s="419"/>
      <c r="AO59" s="419"/>
      <c r="AP59" s="419"/>
      <c r="AQ59" s="419"/>
      <c r="AR59" s="420">
        <f>+AX52</f>
        <v>2.4216185270831239</v>
      </c>
      <c r="AS59" s="329"/>
      <c r="AT59" s="329"/>
      <c r="AU59" s="313"/>
      <c r="AV59" s="313"/>
    </row>
    <row r="60" spans="1:50" ht="20.100000000000001" customHeight="1">
      <c r="A60" s="311"/>
      <c r="B60" s="312">
        <f t="shared" si="26"/>
        <v>13</v>
      </c>
      <c r="C60" s="321"/>
      <c r="D60" s="312">
        <v>0</v>
      </c>
      <c r="E60" s="312">
        <f t="shared" si="24"/>
        <v>0</v>
      </c>
      <c r="F60" s="312">
        <f>AJ11</f>
        <v>42.611135195632741</v>
      </c>
      <c r="G60" s="312">
        <f t="shared" si="25"/>
        <v>-42.611135195632741</v>
      </c>
      <c r="AU60" s="313"/>
      <c r="AV60" s="313"/>
    </row>
    <row r="61" spans="1:50" ht="17.399999999999999">
      <c r="V61" s="422"/>
      <c r="W61" s="423"/>
      <c r="X61" s="424"/>
      <c r="Y61" s="425"/>
      <c r="Z61" s="363"/>
      <c r="AA61" s="363"/>
      <c r="AB61" s="363"/>
      <c r="AC61" s="363"/>
      <c r="AD61" s="363"/>
      <c r="AE61" s="363"/>
      <c r="AF61" s="363"/>
      <c r="AG61" s="363"/>
      <c r="AH61" s="363"/>
      <c r="AI61" s="363"/>
      <c r="AJ61" s="363"/>
      <c r="AK61" s="363"/>
      <c r="AL61" s="363"/>
      <c r="AM61" s="363"/>
      <c r="AN61" s="363"/>
      <c r="AO61" s="363"/>
      <c r="AP61" s="363"/>
      <c r="AQ61" s="363"/>
      <c r="AR61" s="363"/>
      <c r="AS61" s="363"/>
      <c r="AT61" s="363"/>
    </row>
    <row r="62" spans="1:50" ht="17.399999999999999">
      <c r="V62" s="422"/>
      <c r="W62" s="423"/>
      <c r="X62" s="424"/>
      <c r="Y62" s="425"/>
      <c r="Z62" s="363"/>
      <c r="AA62" s="363"/>
      <c r="AB62" s="363"/>
      <c r="AC62" s="363"/>
      <c r="AD62" s="363"/>
      <c r="AE62" s="363"/>
      <c r="AF62" s="363"/>
      <c r="AG62" s="363"/>
      <c r="AH62" s="363"/>
      <c r="AI62" s="363"/>
      <c r="AJ62" s="363"/>
      <c r="AK62" s="363"/>
      <c r="AL62" s="363"/>
      <c r="AM62" s="363"/>
      <c r="AN62" s="363"/>
      <c r="AO62" s="363"/>
      <c r="AP62" s="363"/>
      <c r="AQ62" s="363"/>
      <c r="AR62" s="363"/>
      <c r="AS62" s="363"/>
      <c r="AT62" s="363"/>
    </row>
    <row r="63" spans="1:50" ht="17.399999999999999">
      <c r="V63" s="422"/>
      <c r="W63" s="423"/>
      <c r="X63" s="424"/>
      <c r="Y63" s="425"/>
      <c r="Z63" s="363"/>
      <c r="AA63" s="363"/>
      <c r="AB63" s="363"/>
      <c r="AC63" s="363"/>
      <c r="AD63" s="363"/>
      <c r="AE63" s="363"/>
      <c r="AF63" s="363"/>
      <c r="AG63" s="363"/>
      <c r="AH63" s="363"/>
      <c r="AI63" s="363"/>
      <c r="AJ63" s="363"/>
      <c r="AK63" s="363"/>
      <c r="AL63" s="363"/>
      <c r="AM63" s="363"/>
      <c r="AN63" s="363"/>
      <c r="AO63" s="363"/>
      <c r="AP63" s="363"/>
      <c r="AQ63" s="363"/>
      <c r="AR63" s="363"/>
      <c r="AS63" s="363"/>
      <c r="AT63" s="363"/>
    </row>
    <row r="64" spans="1:50" ht="17.399999999999999">
      <c r="V64" s="422"/>
      <c r="W64" s="423"/>
      <c r="X64" s="424"/>
      <c r="Y64" s="425"/>
      <c r="Z64" s="363"/>
      <c r="AA64" s="363"/>
      <c r="AB64" s="363"/>
      <c r="AC64" s="363"/>
      <c r="AD64" s="363"/>
      <c r="AE64" s="363"/>
      <c r="AF64" s="363"/>
      <c r="AG64" s="363"/>
      <c r="AH64" s="363"/>
      <c r="AI64" s="363"/>
      <c r="AJ64" s="363"/>
      <c r="AK64" s="363"/>
      <c r="AL64" s="363"/>
      <c r="AM64" s="363"/>
      <c r="AN64" s="363"/>
      <c r="AO64" s="363"/>
      <c r="AP64" s="363"/>
      <c r="AQ64" s="363"/>
      <c r="AR64" s="363"/>
      <c r="AS64" s="363"/>
      <c r="AT64" s="363"/>
    </row>
    <row r="65" spans="22:46" ht="17.399999999999999">
      <c r="V65" s="422"/>
      <c r="W65" s="423"/>
      <c r="X65" s="424"/>
      <c r="Y65" s="310"/>
      <c r="Z65" s="363"/>
      <c r="AA65" s="363"/>
      <c r="AB65" s="363"/>
      <c r="AC65" s="363"/>
      <c r="AD65" s="363"/>
      <c r="AE65" s="363"/>
      <c r="AF65" s="363"/>
      <c r="AG65" s="363"/>
      <c r="AH65" s="363"/>
      <c r="AI65" s="363"/>
      <c r="AJ65" s="363"/>
      <c r="AK65" s="363"/>
      <c r="AL65" s="363"/>
      <c r="AM65" s="363"/>
      <c r="AN65" s="363"/>
      <c r="AO65" s="363"/>
      <c r="AP65" s="363"/>
      <c r="AQ65" s="363"/>
      <c r="AR65" s="363"/>
      <c r="AS65" s="363"/>
      <c r="AT65" s="363"/>
    </row>
    <row r="66" spans="22:46" ht="17.399999999999999">
      <c r="V66" s="422"/>
      <c r="W66" s="423"/>
      <c r="X66" s="424"/>
      <c r="Y66" s="310"/>
      <c r="Z66" s="363"/>
      <c r="AA66" s="363"/>
      <c r="AB66" s="363"/>
      <c r="AC66" s="363"/>
      <c r="AD66" s="363"/>
      <c r="AE66" s="363"/>
      <c r="AF66" s="363"/>
      <c r="AG66" s="363"/>
      <c r="AH66" s="363"/>
      <c r="AI66" s="363"/>
      <c r="AJ66" s="363"/>
      <c r="AK66" s="363"/>
      <c r="AL66" s="363"/>
      <c r="AM66" s="363"/>
      <c r="AN66" s="363"/>
      <c r="AO66" s="363"/>
      <c r="AP66" s="363"/>
      <c r="AQ66" s="363"/>
      <c r="AR66" s="363"/>
      <c r="AS66" s="363"/>
      <c r="AT66" s="363"/>
    </row>
    <row r="67" spans="22:46" ht="17.399999999999999">
      <c r="V67" s="422"/>
      <c r="W67" s="423"/>
      <c r="X67" s="424"/>
      <c r="Y67" s="310"/>
      <c r="Z67" s="363"/>
      <c r="AA67" s="363"/>
      <c r="AB67" s="363"/>
      <c r="AC67" s="363"/>
      <c r="AD67" s="363"/>
      <c r="AE67" s="363"/>
      <c r="AF67" s="363"/>
      <c r="AG67" s="363"/>
      <c r="AH67" s="363"/>
      <c r="AI67" s="363"/>
      <c r="AJ67" s="363"/>
      <c r="AK67" s="363"/>
      <c r="AL67" s="363"/>
      <c r="AM67" s="363"/>
      <c r="AN67" s="363"/>
      <c r="AO67" s="363"/>
      <c r="AP67" s="363"/>
      <c r="AQ67" s="363"/>
      <c r="AR67" s="363"/>
      <c r="AS67" s="363"/>
      <c r="AT67" s="363"/>
    </row>
    <row r="68" spans="22:46">
      <c r="V68" s="311"/>
      <c r="W68" s="320"/>
      <c r="X68" s="320"/>
      <c r="Y68" s="320"/>
      <c r="Z68" s="363"/>
      <c r="AA68" s="363"/>
      <c r="AB68" s="363"/>
      <c r="AC68" s="363"/>
      <c r="AD68" s="363"/>
      <c r="AE68" s="363"/>
      <c r="AF68" s="363"/>
      <c r="AG68" s="363"/>
      <c r="AH68" s="363"/>
      <c r="AI68" s="363"/>
      <c r="AJ68" s="363"/>
      <c r="AK68" s="363"/>
      <c r="AL68" s="363"/>
      <c r="AM68" s="363"/>
      <c r="AN68" s="363"/>
      <c r="AO68" s="363"/>
      <c r="AP68" s="363"/>
      <c r="AQ68" s="363"/>
      <c r="AR68" s="363"/>
      <c r="AS68" s="363"/>
      <c r="AT68" s="363"/>
    </row>
    <row r="69" spans="22:46">
      <c r="V69" s="311"/>
      <c r="W69" s="320"/>
      <c r="X69" s="320"/>
      <c r="Y69" s="320"/>
      <c r="Z69" s="363"/>
      <c r="AA69" s="363"/>
      <c r="AB69" s="363"/>
      <c r="AC69" s="363"/>
      <c r="AD69" s="363"/>
      <c r="AE69" s="363"/>
      <c r="AF69" s="363"/>
      <c r="AG69" s="363"/>
      <c r="AH69" s="363"/>
      <c r="AI69" s="363"/>
      <c r="AJ69" s="363"/>
      <c r="AK69" s="363"/>
      <c r="AL69" s="363"/>
      <c r="AM69" s="363"/>
      <c r="AN69" s="363"/>
      <c r="AO69" s="363"/>
      <c r="AP69" s="363"/>
      <c r="AQ69" s="363"/>
      <c r="AR69" s="363"/>
      <c r="AS69" s="363"/>
      <c r="AT69" s="363"/>
    </row>
    <row r="70" spans="22:46">
      <c r="V70" s="311"/>
      <c r="W70" s="320"/>
      <c r="X70" s="320"/>
      <c r="Y70" s="320"/>
      <c r="Z70" s="363"/>
      <c r="AA70" s="363"/>
      <c r="AB70" s="363"/>
      <c r="AC70" s="363"/>
      <c r="AD70" s="363"/>
      <c r="AE70" s="363"/>
      <c r="AF70" s="363"/>
      <c r="AG70" s="363"/>
      <c r="AH70" s="363"/>
      <c r="AI70" s="363"/>
      <c r="AJ70" s="363"/>
      <c r="AK70" s="363"/>
      <c r="AL70" s="363"/>
      <c r="AM70" s="363"/>
      <c r="AN70" s="363"/>
      <c r="AO70" s="363"/>
      <c r="AP70" s="363"/>
      <c r="AQ70" s="363"/>
      <c r="AR70" s="363"/>
      <c r="AS70" s="363"/>
      <c r="AT70" s="363"/>
    </row>
    <row r="71" spans="22:46">
      <c r="W71" s="363"/>
      <c r="X71" s="363"/>
      <c r="Y71" s="363"/>
      <c r="Z71" s="363"/>
      <c r="AA71" s="363"/>
      <c r="AB71" s="363"/>
      <c r="AC71" s="363"/>
      <c r="AD71" s="363"/>
      <c r="AE71" s="363"/>
      <c r="AF71" s="363"/>
      <c r="AG71" s="363"/>
      <c r="AH71" s="363"/>
      <c r="AI71" s="363"/>
      <c r="AJ71" s="363"/>
      <c r="AK71" s="363"/>
      <c r="AL71" s="363"/>
      <c r="AM71" s="363"/>
      <c r="AN71" s="363"/>
      <c r="AO71" s="363"/>
      <c r="AP71" s="363"/>
      <c r="AQ71" s="363"/>
      <c r="AR71" s="363"/>
      <c r="AS71" s="363"/>
      <c r="AT71" s="363"/>
    </row>
    <row r="72" spans="22:46">
      <c r="W72" s="363"/>
      <c r="X72" s="363"/>
      <c r="Y72" s="363"/>
      <c r="Z72" s="363"/>
      <c r="AA72" s="363"/>
      <c r="AB72" s="363"/>
      <c r="AC72" s="363"/>
      <c r="AD72" s="363"/>
      <c r="AE72" s="363"/>
      <c r="AF72" s="363"/>
      <c r="AG72" s="363"/>
      <c r="AH72" s="363"/>
      <c r="AI72" s="363"/>
      <c r="AJ72" s="363"/>
      <c r="AK72" s="363"/>
      <c r="AL72" s="363"/>
      <c r="AM72" s="363"/>
      <c r="AN72" s="363"/>
      <c r="AO72" s="363"/>
      <c r="AP72" s="363"/>
      <c r="AQ72" s="363"/>
      <c r="AR72" s="363"/>
      <c r="AS72" s="363"/>
      <c r="AT72" s="363"/>
    </row>
    <row r="73" spans="22:46">
      <c r="W73" s="363"/>
      <c r="X73" s="363"/>
      <c r="Y73" s="363"/>
      <c r="Z73" s="363"/>
      <c r="AA73" s="363"/>
      <c r="AB73" s="363"/>
      <c r="AC73" s="363"/>
      <c r="AD73" s="363"/>
      <c r="AE73" s="363"/>
      <c r="AF73" s="363"/>
      <c r="AG73" s="363"/>
      <c r="AH73" s="363"/>
      <c r="AI73" s="363"/>
      <c r="AJ73" s="363"/>
      <c r="AK73" s="363"/>
      <c r="AL73" s="363"/>
      <c r="AM73" s="363"/>
      <c r="AN73" s="363"/>
      <c r="AO73" s="363"/>
      <c r="AP73" s="363"/>
      <c r="AQ73" s="363"/>
      <c r="AR73" s="363"/>
      <c r="AS73" s="363"/>
      <c r="AT73" s="363"/>
    </row>
    <row r="74" spans="22:46">
      <c r="W74" s="363"/>
      <c r="X74" s="363"/>
      <c r="Y74" s="363"/>
      <c r="Z74" s="363"/>
      <c r="AA74" s="363"/>
      <c r="AB74" s="363"/>
      <c r="AC74" s="363"/>
      <c r="AD74" s="363"/>
      <c r="AE74" s="363"/>
      <c r="AF74" s="363"/>
      <c r="AG74" s="363"/>
      <c r="AH74" s="363"/>
      <c r="AI74" s="363"/>
      <c r="AJ74" s="363"/>
      <c r="AK74" s="363"/>
      <c r="AL74" s="363"/>
      <c r="AM74" s="363"/>
      <c r="AN74" s="363"/>
      <c r="AO74" s="363"/>
      <c r="AP74" s="363"/>
      <c r="AQ74" s="363"/>
      <c r="AR74" s="363"/>
      <c r="AS74" s="363"/>
      <c r="AT74" s="363"/>
    </row>
    <row r="75" spans="22:46">
      <c r="W75" s="363"/>
      <c r="X75" s="363"/>
      <c r="Y75" s="363"/>
      <c r="Z75" s="363"/>
      <c r="AA75" s="363"/>
      <c r="AB75" s="363"/>
      <c r="AC75" s="363"/>
      <c r="AD75" s="363"/>
      <c r="AE75" s="363"/>
      <c r="AF75" s="363"/>
      <c r="AG75" s="363"/>
      <c r="AH75" s="363"/>
      <c r="AI75" s="363"/>
      <c r="AJ75" s="363"/>
      <c r="AK75" s="363"/>
      <c r="AL75" s="363"/>
      <c r="AM75" s="363"/>
      <c r="AN75" s="363"/>
      <c r="AO75" s="363"/>
      <c r="AP75" s="363"/>
      <c r="AQ75" s="363"/>
      <c r="AR75" s="363"/>
      <c r="AS75" s="363"/>
      <c r="AT75" s="363"/>
    </row>
    <row r="76" spans="22:46">
      <c r="W76" s="363"/>
      <c r="X76" s="363"/>
      <c r="Y76" s="363"/>
      <c r="Z76" s="363"/>
      <c r="AA76" s="363"/>
      <c r="AB76" s="363"/>
      <c r="AC76" s="363"/>
      <c r="AD76" s="363"/>
      <c r="AE76" s="363"/>
      <c r="AF76" s="363"/>
      <c r="AG76" s="363"/>
      <c r="AH76" s="363"/>
      <c r="AI76" s="363"/>
      <c r="AJ76" s="363"/>
      <c r="AK76" s="363"/>
      <c r="AL76" s="363"/>
      <c r="AM76" s="363"/>
      <c r="AN76" s="363"/>
      <c r="AO76" s="363"/>
      <c r="AP76" s="363"/>
      <c r="AQ76" s="363"/>
      <c r="AR76" s="363"/>
      <c r="AS76" s="363"/>
      <c r="AT76" s="363"/>
    </row>
    <row r="77" spans="22:46">
      <c r="W77" s="363"/>
      <c r="X77" s="363"/>
      <c r="Y77" s="363"/>
      <c r="Z77" s="363"/>
      <c r="AA77" s="363"/>
      <c r="AB77" s="363"/>
      <c r="AC77" s="363"/>
      <c r="AD77" s="363"/>
      <c r="AE77" s="363"/>
      <c r="AF77" s="363"/>
      <c r="AG77" s="363"/>
      <c r="AH77" s="363"/>
      <c r="AI77" s="363"/>
      <c r="AJ77" s="363"/>
      <c r="AK77" s="363"/>
      <c r="AL77" s="363"/>
      <c r="AM77" s="363"/>
      <c r="AN77" s="363"/>
      <c r="AO77" s="363"/>
      <c r="AP77" s="363"/>
      <c r="AQ77" s="363"/>
      <c r="AR77" s="363"/>
      <c r="AS77" s="363"/>
      <c r="AT77" s="363"/>
    </row>
    <row r="78" spans="22:46">
      <c r="W78" s="363"/>
      <c r="X78" s="363"/>
      <c r="Y78" s="363"/>
      <c r="Z78" s="363"/>
      <c r="AA78" s="363"/>
      <c r="AB78" s="363"/>
      <c r="AC78" s="363"/>
      <c r="AD78" s="363"/>
      <c r="AE78" s="363"/>
      <c r="AF78" s="363"/>
      <c r="AG78" s="363"/>
      <c r="AH78" s="363"/>
      <c r="AI78" s="363"/>
      <c r="AJ78" s="363"/>
      <c r="AK78" s="363"/>
      <c r="AL78" s="363"/>
      <c r="AM78" s="363"/>
      <c r="AN78" s="363"/>
      <c r="AO78" s="363"/>
      <c r="AP78" s="363"/>
      <c r="AQ78" s="363"/>
      <c r="AR78" s="363"/>
      <c r="AS78" s="363"/>
      <c r="AT78" s="363"/>
    </row>
    <row r="79" spans="22:46">
      <c r="W79" s="363"/>
      <c r="X79" s="363"/>
      <c r="Y79" s="363"/>
      <c r="Z79" s="363"/>
      <c r="AA79" s="363"/>
      <c r="AB79" s="363"/>
      <c r="AC79" s="363"/>
      <c r="AD79" s="363"/>
      <c r="AE79" s="363"/>
      <c r="AF79" s="363"/>
      <c r="AG79" s="363"/>
      <c r="AH79" s="363"/>
      <c r="AI79" s="363"/>
      <c r="AJ79" s="363"/>
      <c r="AK79" s="363"/>
      <c r="AL79" s="363"/>
      <c r="AM79" s="363"/>
      <c r="AN79" s="363"/>
      <c r="AO79" s="363"/>
      <c r="AP79" s="363"/>
      <c r="AQ79" s="363"/>
      <c r="AR79" s="363"/>
      <c r="AS79" s="363"/>
      <c r="AT79" s="363"/>
    </row>
    <row r="80" spans="22:46">
      <c r="W80" s="363"/>
      <c r="X80" s="363"/>
      <c r="Y80" s="363"/>
      <c r="Z80" s="363"/>
      <c r="AA80" s="363"/>
      <c r="AB80" s="363"/>
      <c r="AC80" s="363"/>
      <c r="AD80" s="363"/>
      <c r="AE80" s="363"/>
      <c r="AF80" s="363"/>
      <c r="AG80" s="363"/>
      <c r="AH80" s="363"/>
      <c r="AI80" s="363"/>
      <c r="AJ80" s="363"/>
      <c r="AK80" s="363"/>
      <c r="AL80" s="363"/>
      <c r="AM80" s="363"/>
      <c r="AN80" s="363"/>
      <c r="AO80" s="363"/>
      <c r="AP80" s="363"/>
      <c r="AQ80" s="363"/>
      <c r="AR80" s="363"/>
      <c r="AS80" s="363"/>
      <c r="AT80" s="363"/>
    </row>
    <row r="81" spans="23:46">
      <c r="W81" s="363"/>
      <c r="X81" s="363"/>
      <c r="Y81" s="363"/>
      <c r="Z81" s="363"/>
      <c r="AA81" s="363"/>
      <c r="AB81" s="363"/>
      <c r="AC81" s="363"/>
      <c r="AD81" s="363"/>
      <c r="AE81" s="363"/>
      <c r="AF81" s="363"/>
      <c r="AG81" s="363"/>
      <c r="AH81" s="363"/>
      <c r="AI81" s="363"/>
      <c r="AJ81" s="363"/>
      <c r="AK81" s="363"/>
      <c r="AL81" s="363"/>
      <c r="AM81" s="363"/>
      <c r="AN81" s="363"/>
      <c r="AO81" s="363"/>
      <c r="AP81" s="363"/>
      <c r="AQ81" s="363"/>
      <c r="AR81" s="363"/>
      <c r="AS81" s="363"/>
      <c r="AT81" s="363"/>
    </row>
    <row r="82" spans="23:46">
      <c r="W82" s="363"/>
      <c r="X82" s="363"/>
      <c r="Y82" s="363"/>
      <c r="Z82" s="363"/>
      <c r="AA82" s="363"/>
      <c r="AB82" s="363"/>
      <c r="AC82" s="363"/>
      <c r="AD82" s="363"/>
      <c r="AE82" s="363"/>
      <c r="AF82" s="363"/>
      <c r="AG82" s="363"/>
      <c r="AH82" s="363"/>
      <c r="AI82" s="363"/>
      <c r="AJ82" s="363"/>
      <c r="AK82" s="363"/>
      <c r="AL82" s="363"/>
      <c r="AM82" s="363"/>
      <c r="AN82" s="363"/>
      <c r="AO82" s="363"/>
      <c r="AP82" s="363"/>
      <c r="AQ82" s="363"/>
      <c r="AR82" s="363"/>
      <c r="AS82" s="363"/>
      <c r="AT82" s="363"/>
    </row>
    <row r="83" spans="23:46">
      <c r="W83" s="363"/>
      <c r="X83" s="363"/>
      <c r="Y83" s="363"/>
      <c r="Z83" s="363"/>
      <c r="AA83" s="363"/>
      <c r="AB83" s="363"/>
      <c r="AC83" s="363"/>
      <c r="AD83" s="363"/>
      <c r="AE83" s="363"/>
      <c r="AF83" s="363"/>
      <c r="AG83" s="363"/>
      <c r="AH83" s="363"/>
      <c r="AI83" s="363"/>
      <c r="AJ83" s="363"/>
      <c r="AK83" s="363"/>
      <c r="AL83" s="363"/>
      <c r="AM83" s="363"/>
      <c r="AN83" s="363"/>
      <c r="AO83" s="363"/>
      <c r="AP83" s="363"/>
      <c r="AQ83" s="363"/>
      <c r="AR83" s="363"/>
      <c r="AS83" s="363"/>
      <c r="AT83" s="363"/>
    </row>
    <row r="84" spans="23:46">
      <c r="W84" s="363"/>
      <c r="X84" s="363"/>
      <c r="Y84" s="363"/>
      <c r="Z84" s="363"/>
      <c r="AA84" s="363"/>
      <c r="AB84" s="363"/>
      <c r="AC84" s="363"/>
      <c r="AD84" s="363"/>
      <c r="AE84" s="363"/>
      <c r="AF84" s="363"/>
      <c r="AG84" s="363"/>
      <c r="AH84" s="363"/>
      <c r="AI84" s="363"/>
      <c r="AJ84" s="363"/>
      <c r="AK84" s="363"/>
      <c r="AL84" s="363"/>
      <c r="AM84" s="363"/>
      <c r="AN84" s="363"/>
      <c r="AO84" s="363"/>
      <c r="AP84" s="363"/>
      <c r="AQ84" s="363"/>
      <c r="AR84" s="363"/>
      <c r="AS84" s="363"/>
      <c r="AT84" s="363"/>
    </row>
    <row r="85" spans="23:46">
      <c r="W85" s="363"/>
      <c r="X85" s="363"/>
      <c r="Y85" s="363"/>
      <c r="Z85" s="363"/>
      <c r="AA85" s="363"/>
      <c r="AB85" s="363"/>
      <c r="AC85" s="363"/>
      <c r="AD85" s="363"/>
      <c r="AE85" s="363"/>
      <c r="AF85" s="363"/>
      <c r="AG85" s="363"/>
      <c r="AH85" s="363"/>
      <c r="AI85" s="363"/>
      <c r="AJ85" s="363"/>
      <c r="AK85" s="363"/>
      <c r="AL85" s="363"/>
      <c r="AM85" s="363"/>
      <c r="AN85" s="363"/>
      <c r="AO85" s="363"/>
      <c r="AP85" s="363"/>
      <c r="AQ85" s="363"/>
      <c r="AR85" s="363"/>
      <c r="AS85" s="363"/>
      <c r="AT85" s="363"/>
    </row>
    <row r="86" spans="23:46">
      <c r="W86" s="363"/>
      <c r="X86" s="363"/>
      <c r="Y86" s="363"/>
      <c r="Z86" s="363"/>
      <c r="AA86" s="363"/>
      <c r="AB86" s="363"/>
      <c r="AC86" s="363"/>
      <c r="AD86" s="363"/>
      <c r="AE86" s="363"/>
      <c r="AF86" s="363"/>
      <c r="AG86" s="363"/>
      <c r="AH86" s="363"/>
      <c r="AI86" s="363"/>
      <c r="AJ86" s="363"/>
      <c r="AK86" s="363"/>
      <c r="AL86" s="363"/>
      <c r="AM86" s="363"/>
      <c r="AN86" s="363"/>
      <c r="AO86" s="363"/>
      <c r="AP86" s="363"/>
      <c r="AQ86" s="363"/>
      <c r="AR86" s="363"/>
      <c r="AS86" s="363"/>
      <c r="AT86" s="363"/>
    </row>
  </sheetData>
  <mergeCells count="2">
    <mergeCell ref="H3:I3"/>
    <mergeCell ref="H29:I29"/>
  </mergeCells>
  <pageMargins left="1.06" right="0.75" top="0.86" bottom="0.66" header="0.5" footer="0.5"/>
  <pageSetup scale="4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4"/>
  <sheetViews>
    <sheetView topLeftCell="A13" workbookViewId="0">
      <selection activeCell="C9" sqref="C9"/>
    </sheetView>
  </sheetViews>
  <sheetFormatPr defaultColWidth="8.90625" defaultRowHeight="15"/>
  <cols>
    <col min="1" max="1" width="8.90625" style="426"/>
    <col min="2" max="2" width="8.453125" style="426" customWidth="1"/>
    <col min="3" max="3" width="32.08984375" style="426" customWidth="1"/>
    <col min="4" max="4" width="11.36328125" style="426" customWidth="1"/>
    <col min="5" max="5" width="11" style="426" customWidth="1"/>
    <col min="6" max="16384" width="8.90625" style="426"/>
  </cols>
  <sheetData>
    <row r="3" spans="1:7" s="453" customFormat="1" ht="20.25" customHeight="1">
      <c r="B3" s="802" t="str">
        <f>capcost!E1</f>
        <v>S T E E L   A U T H O R I T Y   OF   I N D I A    L I M I T E D</v>
      </c>
      <c r="C3" s="802"/>
      <c r="D3" s="802"/>
      <c r="E3" s="802"/>
    </row>
    <row r="4" spans="1:7" s="453" customFormat="1" ht="22.5" customHeight="1">
      <c r="A4" s="453" t="s">
        <v>0</v>
      </c>
      <c r="B4" s="803" t="str">
        <f>capcost!E2</f>
        <v>IISCO STEEL PLANT</v>
      </c>
      <c r="C4" s="803"/>
      <c r="D4" s="803"/>
      <c r="E4" s="803"/>
    </row>
    <row r="5" spans="1:7" s="453" customFormat="1" ht="21" customHeight="1">
      <c r="B5" s="803" t="str">
        <f>capcost!E3</f>
        <v>INSTALLATION OF FLARE STACK FOR COB-10, ISP</v>
      </c>
      <c r="C5" s="803"/>
      <c r="D5" s="803"/>
      <c r="E5" s="803"/>
    </row>
    <row r="6" spans="1:7" ht="17.399999999999999">
      <c r="C6" s="427" t="s">
        <v>346</v>
      </c>
      <c r="D6" s="427"/>
      <c r="E6" s="428"/>
    </row>
    <row r="7" spans="1:7" ht="17.399999999999999">
      <c r="B7" s="427"/>
      <c r="C7" s="427"/>
      <c r="D7" s="427"/>
      <c r="E7" s="428"/>
    </row>
    <row r="8" spans="1:7" ht="17.399999999999999">
      <c r="B8" s="429">
        <v>1</v>
      </c>
      <c r="C8" s="430" t="s">
        <v>390</v>
      </c>
      <c r="D8" s="431" t="s">
        <v>347</v>
      </c>
      <c r="E8" s="432">
        <f>capcost!AU26</f>
        <v>6.3644516466844303</v>
      </c>
    </row>
    <row r="9" spans="1:7" ht="17.399999999999999">
      <c r="B9" s="433"/>
      <c r="C9" s="434"/>
      <c r="D9" s="435"/>
      <c r="E9" s="436"/>
    </row>
    <row r="10" spans="1:7" ht="17.399999999999999">
      <c r="B10" s="437">
        <v>2</v>
      </c>
      <c r="C10" s="438" t="s">
        <v>348</v>
      </c>
      <c r="D10" s="439" t="s">
        <v>347</v>
      </c>
      <c r="E10" s="440">
        <f>'cash flow'!D14</f>
        <v>122.28987594503724</v>
      </c>
    </row>
    <row r="11" spans="1:7" ht="17.399999999999999">
      <c r="B11" s="437"/>
      <c r="C11" s="438"/>
      <c r="D11" s="439"/>
      <c r="E11" s="440"/>
    </row>
    <row r="12" spans="1:7" ht="17.399999999999999">
      <c r="B12" s="437">
        <v>3</v>
      </c>
      <c r="C12" s="441" t="s">
        <v>387</v>
      </c>
      <c r="D12" s="439" t="s">
        <v>347</v>
      </c>
      <c r="E12" s="440">
        <f>'cash flow'!X56</f>
        <v>524.92889366153429</v>
      </c>
    </row>
    <row r="13" spans="1:7" ht="17.399999999999999">
      <c r="B13" s="437"/>
      <c r="C13" s="438"/>
      <c r="D13" s="439"/>
      <c r="E13" s="440"/>
    </row>
    <row r="14" spans="1:7" ht="17.399999999999999">
      <c r="B14" s="437">
        <v>4</v>
      </c>
      <c r="C14" s="438" t="s">
        <v>349</v>
      </c>
      <c r="D14" s="439" t="s">
        <v>147</v>
      </c>
      <c r="E14" s="442">
        <f>'cash flow'!X59</f>
        <v>2.4216185270831239</v>
      </c>
      <c r="G14" s="309"/>
    </row>
    <row r="15" spans="1:7" ht="17.399999999999999">
      <c r="B15" s="443"/>
      <c r="C15" s="444"/>
      <c r="D15" s="445"/>
      <c r="E15" s="446"/>
    </row>
    <row r="17" spans="3:7">
      <c r="C17" s="447"/>
      <c r="D17" s="447"/>
      <c r="E17" s="447"/>
    </row>
    <row r="18" spans="3:7" ht="15.6">
      <c r="C18" s="804" t="s">
        <v>350</v>
      </c>
      <c r="D18" s="804"/>
      <c r="E18" s="363"/>
    </row>
    <row r="19" spans="3:7">
      <c r="C19" s="402"/>
      <c r="D19" s="448"/>
    </row>
    <row r="20" spans="3:7">
      <c r="C20" s="402"/>
      <c r="D20" s="449" t="s">
        <v>307</v>
      </c>
    </row>
    <row r="21" spans="3:7">
      <c r="C21" s="450" t="s">
        <v>351</v>
      </c>
      <c r="D21" s="451">
        <v>0.2816925127699228</v>
      </c>
      <c r="G21" s="426">
        <v>1</v>
      </c>
    </row>
    <row r="22" spans="3:7">
      <c r="C22" s="450" t="s">
        <v>352</v>
      </c>
      <c r="D22" s="451">
        <v>0.27948018339774328</v>
      </c>
      <c r="G22" s="426">
        <v>1</v>
      </c>
    </row>
    <row r="23" spans="3:7">
      <c r="C23" s="450" t="s">
        <v>353</v>
      </c>
      <c r="D23" s="451">
        <v>0.25846418376429725</v>
      </c>
    </row>
    <row r="24" spans="3:7">
      <c r="C24" s="452"/>
      <c r="D24" s="452"/>
      <c r="E24" s="363"/>
    </row>
  </sheetData>
  <mergeCells count="4">
    <mergeCell ref="B3:E3"/>
    <mergeCell ref="B4:E4"/>
    <mergeCell ref="B5:E5"/>
    <mergeCell ref="C18:D1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62"/>
  <sheetViews>
    <sheetView topLeftCell="A49" workbookViewId="0">
      <selection activeCell="J13" sqref="J13"/>
    </sheetView>
  </sheetViews>
  <sheetFormatPr defaultColWidth="8.90625" defaultRowHeight="21"/>
  <cols>
    <col min="1" max="1" width="7.08984375" style="594" customWidth="1"/>
    <col min="2" max="2" width="27.1796875" style="594" customWidth="1"/>
    <col min="3" max="3" width="28.36328125" style="594" customWidth="1"/>
    <col min="4" max="4" width="17.36328125" style="594" customWidth="1"/>
    <col min="5" max="5" width="7.1796875" style="594" customWidth="1"/>
    <col min="6" max="6" width="14.08984375" style="594" customWidth="1"/>
    <col min="7" max="7" width="7.54296875" style="594" customWidth="1"/>
    <col min="8" max="8" width="5.54296875" style="594" customWidth="1"/>
    <col min="9" max="9" width="9.1796875" style="594" customWidth="1"/>
    <col min="10" max="10" width="13.81640625" style="594" customWidth="1"/>
    <col min="11" max="11" width="5" style="594" customWidth="1"/>
    <col min="12" max="12" width="9.81640625" style="594" customWidth="1"/>
    <col min="13" max="13" width="9.54296875" style="594" customWidth="1"/>
    <col min="14" max="15" width="4.36328125" style="594" customWidth="1"/>
    <col min="16" max="16" width="6.08984375" style="594" customWidth="1"/>
    <col min="17" max="17" width="10.36328125" style="594" customWidth="1"/>
    <col min="18" max="16384" width="8.90625" style="594"/>
  </cols>
  <sheetData>
    <row r="1" spans="1:256">
      <c r="A1" s="593" t="s">
        <v>487</v>
      </c>
    </row>
    <row r="2" spans="1:256">
      <c r="A2" s="595" t="s">
        <v>488</v>
      </c>
      <c r="C2" s="596" t="s">
        <v>570</v>
      </c>
    </row>
    <row r="3" spans="1:256">
      <c r="A3" s="595" t="s">
        <v>489</v>
      </c>
      <c r="C3" s="596" t="s">
        <v>490</v>
      </c>
    </row>
    <row r="4" spans="1:256">
      <c r="A4" s="595" t="s">
        <v>491</v>
      </c>
      <c r="C4" s="596" t="s">
        <v>571</v>
      </c>
    </row>
    <row r="5" spans="1:256">
      <c r="A5" s="595" t="s">
        <v>492</v>
      </c>
      <c r="C5" s="596" t="s">
        <v>493</v>
      </c>
    </row>
    <row r="6" spans="1:256">
      <c r="A6" s="597"/>
    </row>
    <row r="7" spans="1:256">
      <c r="A7" s="816" t="s">
        <v>494</v>
      </c>
      <c r="B7" s="817"/>
      <c r="C7" s="817"/>
    </row>
    <row r="8" spans="1:256">
      <c r="A8" s="598" t="s">
        <v>495</v>
      </c>
      <c r="B8" s="599"/>
      <c r="D8" s="600" t="s">
        <v>496</v>
      </c>
      <c r="E8" s="601">
        <f>[1]capcost!F10</f>
        <v>0</v>
      </c>
      <c r="F8" s="600" t="s">
        <v>497</v>
      </c>
      <c r="G8" s="602">
        <f>[1]capcost!BB17</f>
        <v>0</v>
      </c>
      <c r="I8" s="602"/>
      <c r="J8" s="603" t="s">
        <v>498</v>
      </c>
      <c r="K8" s="603"/>
      <c r="L8" s="603"/>
    </row>
    <row r="9" spans="1:256">
      <c r="A9" s="818" t="s">
        <v>247</v>
      </c>
      <c r="B9" s="818" t="s">
        <v>499</v>
      </c>
      <c r="C9" s="818" t="s">
        <v>500</v>
      </c>
      <c r="D9" s="819" t="s">
        <v>501</v>
      </c>
      <c r="E9" s="820"/>
      <c r="F9" s="821"/>
      <c r="G9" s="821"/>
      <c r="H9" s="822"/>
      <c r="I9" s="823" t="s">
        <v>502</v>
      </c>
      <c r="J9" s="824"/>
      <c r="K9" s="824"/>
      <c r="L9" s="825"/>
      <c r="M9" s="805" t="s">
        <v>503</v>
      </c>
      <c r="N9" s="806"/>
      <c r="O9" s="809" t="s">
        <v>504</v>
      </c>
      <c r="P9" s="810"/>
      <c r="Q9" s="813" t="s">
        <v>505</v>
      </c>
      <c r="R9" s="604"/>
      <c r="S9" s="604"/>
      <c r="T9" s="604"/>
      <c r="U9" s="604"/>
      <c r="V9" s="604"/>
      <c r="W9" s="604"/>
      <c r="X9" s="604"/>
      <c r="Y9" s="604"/>
      <c r="Z9" s="604"/>
      <c r="AA9" s="604"/>
      <c r="AB9" s="604"/>
      <c r="AC9" s="604"/>
      <c r="AD9" s="604"/>
      <c r="AE9" s="604"/>
      <c r="AF9" s="604"/>
      <c r="AG9" s="604"/>
      <c r="AH9" s="604"/>
      <c r="AI9" s="604"/>
      <c r="AJ9" s="604"/>
      <c r="AK9" s="604"/>
      <c r="AL9" s="604"/>
      <c r="AM9" s="604"/>
      <c r="AN9" s="604"/>
      <c r="AO9" s="604"/>
      <c r="AP9" s="604"/>
      <c r="AQ9" s="604"/>
      <c r="AR9" s="604"/>
      <c r="AS9" s="604"/>
      <c r="AT9" s="604"/>
      <c r="AU9" s="604"/>
      <c r="AV9" s="604"/>
      <c r="AW9" s="604"/>
      <c r="AX9" s="604"/>
      <c r="AY9" s="604"/>
      <c r="AZ9" s="604"/>
      <c r="BA9" s="604"/>
      <c r="BB9" s="604"/>
      <c r="BC9" s="604"/>
      <c r="BD9" s="604"/>
      <c r="BE9" s="604"/>
      <c r="BF9" s="604"/>
      <c r="BG9" s="604"/>
      <c r="BH9" s="604"/>
      <c r="BI9" s="604"/>
      <c r="BJ9" s="604"/>
      <c r="BK9" s="604"/>
      <c r="BL9" s="604"/>
      <c r="BM9" s="604"/>
      <c r="BN9" s="604"/>
      <c r="BO9" s="604"/>
      <c r="BP9" s="604"/>
      <c r="BQ9" s="604"/>
      <c r="BR9" s="604"/>
      <c r="BS9" s="604"/>
      <c r="BT9" s="604"/>
      <c r="BU9" s="604"/>
      <c r="BV9" s="604"/>
      <c r="BW9" s="604"/>
      <c r="BX9" s="604"/>
      <c r="BY9" s="604"/>
      <c r="BZ9" s="604"/>
      <c r="CA9" s="604"/>
      <c r="CB9" s="604"/>
      <c r="CC9" s="604"/>
      <c r="CD9" s="604"/>
      <c r="CE9" s="604"/>
      <c r="CF9" s="604"/>
      <c r="CG9" s="604"/>
      <c r="CH9" s="604"/>
      <c r="CI9" s="604"/>
      <c r="CJ9" s="604"/>
      <c r="CK9" s="604"/>
      <c r="CL9" s="604"/>
      <c r="CM9" s="604"/>
      <c r="CN9" s="604"/>
      <c r="CO9" s="604"/>
      <c r="CP9" s="604"/>
      <c r="CQ9" s="604"/>
      <c r="CR9" s="604"/>
      <c r="CS9" s="604"/>
      <c r="CT9" s="604"/>
      <c r="CU9" s="604"/>
      <c r="CV9" s="604"/>
      <c r="CW9" s="604"/>
      <c r="CX9" s="604"/>
      <c r="CY9" s="604"/>
      <c r="CZ9" s="604"/>
      <c r="DA9" s="604"/>
      <c r="DB9" s="604"/>
      <c r="DC9" s="604"/>
      <c r="DD9" s="604"/>
      <c r="DE9" s="604"/>
      <c r="DF9" s="604"/>
      <c r="DG9" s="604"/>
      <c r="DH9" s="604"/>
      <c r="DI9" s="604"/>
      <c r="DJ9" s="604"/>
      <c r="DK9" s="604"/>
      <c r="DL9" s="604"/>
      <c r="DM9" s="604"/>
      <c r="DN9" s="604"/>
      <c r="DO9" s="604"/>
      <c r="DP9" s="604"/>
      <c r="DQ9" s="604"/>
      <c r="DR9" s="604"/>
      <c r="DS9" s="604"/>
      <c r="DT9" s="604"/>
      <c r="DU9" s="604"/>
      <c r="DV9" s="604"/>
      <c r="DW9" s="604"/>
      <c r="DX9" s="604"/>
      <c r="DY9" s="604"/>
      <c r="DZ9" s="604"/>
      <c r="EA9" s="604"/>
      <c r="EB9" s="604"/>
      <c r="EC9" s="604"/>
      <c r="ED9" s="604"/>
      <c r="EE9" s="604"/>
      <c r="EF9" s="604"/>
      <c r="EG9" s="604"/>
      <c r="EH9" s="604"/>
      <c r="EI9" s="604"/>
      <c r="EJ9" s="604"/>
      <c r="EK9" s="604"/>
      <c r="EL9" s="604"/>
      <c r="EM9" s="604"/>
      <c r="EN9" s="604"/>
      <c r="EO9" s="604"/>
      <c r="EP9" s="604"/>
      <c r="EQ9" s="604"/>
      <c r="ER9" s="604"/>
      <c r="ES9" s="604"/>
      <c r="ET9" s="604"/>
      <c r="EU9" s="604"/>
      <c r="EV9" s="604"/>
      <c r="EW9" s="604"/>
      <c r="EX9" s="604"/>
      <c r="EY9" s="604"/>
      <c r="EZ9" s="604"/>
      <c r="FA9" s="604"/>
      <c r="FB9" s="604"/>
      <c r="FC9" s="604"/>
      <c r="FD9" s="604"/>
      <c r="FE9" s="604"/>
      <c r="FF9" s="604"/>
      <c r="FG9" s="604"/>
      <c r="FH9" s="604"/>
      <c r="FI9" s="604"/>
      <c r="FJ9" s="604"/>
      <c r="FK9" s="604"/>
      <c r="FL9" s="604"/>
      <c r="FM9" s="604"/>
      <c r="FN9" s="604"/>
      <c r="FO9" s="604"/>
      <c r="FP9" s="604"/>
      <c r="FQ9" s="604"/>
      <c r="FR9" s="604"/>
      <c r="FS9" s="604"/>
      <c r="FT9" s="604"/>
      <c r="FU9" s="604"/>
      <c r="FV9" s="604"/>
      <c r="FW9" s="604"/>
      <c r="FX9" s="604"/>
      <c r="FY9" s="604"/>
      <c r="FZ9" s="604"/>
      <c r="GA9" s="604"/>
      <c r="GB9" s="604"/>
      <c r="GC9" s="604"/>
      <c r="GD9" s="604"/>
      <c r="GE9" s="604"/>
      <c r="GF9" s="604"/>
      <c r="GG9" s="604"/>
      <c r="GH9" s="604"/>
      <c r="GI9" s="604"/>
      <c r="GJ9" s="604"/>
      <c r="GK9" s="604"/>
      <c r="GL9" s="604"/>
      <c r="GM9" s="604"/>
      <c r="GN9" s="604"/>
      <c r="GO9" s="604"/>
      <c r="GP9" s="604"/>
      <c r="GQ9" s="604"/>
      <c r="GR9" s="604"/>
      <c r="GS9" s="604"/>
      <c r="GT9" s="604"/>
      <c r="GU9" s="604"/>
      <c r="GV9" s="604"/>
      <c r="GW9" s="604"/>
      <c r="GX9" s="604"/>
      <c r="GY9" s="604"/>
      <c r="GZ9" s="604"/>
      <c r="HA9" s="604"/>
      <c r="HB9" s="604"/>
      <c r="HC9" s="604"/>
      <c r="HD9" s="604"/>
      <c r="HE9" s="604"/>
      <c r="HF9" s="604"/>
      <c r="HG9" s="604"/>
      <c r="HH9" s="604"/>
      <c r="HI9" s="604"/>
      <c r="HJ9" s="604"/>
      <c r="HK9" s="604"/>
      <c r="HL9" s="604"/>
      <c r="HM9" s="604"/>
      <c r="HN9" s="604"/>
      <c r="HO9" s="604"/>
      <c r="HP9" s="604"/>
      <c r="HQ9" s="604"/>
      <c r="HR9" s="604"/>
      <c r="HS9" s="604"/>
      <c r="HT9" s="604"/>
      <c r="HU9" s="604"/>
      <c r="HV9" s="604"/>
      <c r="HW9" s="604"/>
      <c r="HX9" s="604"/>
      <c r="HY9" s="604"/>
      <c r="HZ9" s="604"/>
      <c r="IA9" s="604"/>
      <c r="IB9" s="604"/>
      <c r="IC9" s="604"/>
      <c r="ID9" s="604"/>
      <c r="IE9" s="604"/>
      <c r="IF9" s="604"/>
      <c r="IG9" s="604"/>
      <c r="IH9" s="604"/>
      <c r="II9" s="604"/>
      <c r="IJ9" s="604"/>
      <c r="IK9" s="604"/>
      <c r="IL9" s="604"/>
      <c r="IM9" s="604"/>
      <c r="IN9" s="604"/>
      <c r="IO9" s="604"/>
      <c r="IP9" s="604"/>
      <c r="IQ9" s="604"/>
      <c r="IR9" s="604"/>
      <c r="IS9" s="604"/>
      <c r="IT9" s="604"/>
      <c r="IU9" s="604"/>
      <c r="IV9" s="604"/>
    </row>
    <row r="10" spans="1:256" ht="124.8">
      <c r="A10" s="818"/>
      <c r="B10" s="818"/>
      <c r="C10" s="818"/>
      <c r="D10" s="809" t="s">
        <v>506</v>
      </c>
      <c r="E10" s="810"/>
      <c r="F10" s="605" t="s">
        <v>507</v>
      </c>
      <c r="G10" s="605" t="s">
        <v>508</v>
      </c>
      <c r="H10" s="606" t="s">
        <v>509</v>
      </c>
      <c r="I10" s="607" t="s">
        <v>506</v>
      </c>
      <c r="J10" s="607" t="s">
        <v>510</v>
      </c>
      <c r="K10" s="605" t="s">
        <v>508</v>
      </c>
      <c r="L10" s="606" t="s">
        <v>509</v>
      </c>
      <c r="M10" s="807"/>
      <c r="N10" s="808"/>
      <c r="O10" s="811"/>
      <c r="P10" s="812"/>
      <c r="Q10" s="814"/>
      <c r="R10" s="608"/>
      <c r="S10" s="608"/>
      <c r="T10" s="608"/>
      <c r="U10" s="608"/>
      <c r="V10" s="608"/>
      <c r="W10" s="608"/>
      <c r="X10" s="608"/>
      <c r="Y10" s="608"/>
      <c r="Z10" s="608"/>
      <c r="AA10" s="608"/>
      <c r="AB10" s="608"/>
      <c r="AC10" s="608"/>
      <c r="AD10" s="608"/>
      <c r="AE10" s="608"/>
      <c r="AF10" s="608"/>
      <c r="AG10" s="608"/>
      <c r="AH10" s="608"/>
      <c r="AI10" s="608"/>
      <c r="AJ10" s="608"/>
      <c r="AK10" s="608"/>
      <c r="AL10" s="608"/>
      <c r="AM10" s="608"/>
      <c r="AN10" s="608"/>
      <c r="AO10" s="608"/>
      <c r="AP10" s="608"/>
      <c r="AQ10" s="608"/>
      <c r="AR10" s="608"/>
      <c r="AS10" s="608"/>
      <c r="AT10" s="608"/>
      <c r="AU10" s="608"/>
      <c r="AV10" s="608"/>
      <c r="AW10" s="608"/>
      <c r="AX10" s="608"/>
      <c r="AY10" s="608"/>
      <c r="AZ10" s="608"/>
      <c r="BA10" s="608"/>
      <c r="BB10" s="608"/>
      <c r="BC10" s="608"/>
      <c r="BD10" s="608"/>
      <c r="BE10" s="608"/>
      <c r="BF10" s="608"/>
      <c r="BG10" s="608"/>
      <c r="BH10" s="608"/>
      <c r="BI10" s="608"/>
      <c r="BJ10" s="608"/>
      <c r="BK10" s="608"/>
      <c r="BL10" s="608"/>
      <c r="BM10" s="608"/>
      <c r="BN10" s="608"/>
      <c r="BO10" s="608"/>
      <c r="BP10" s="608"/>
      <c r="BQ10" s="608"/>
      <c r="BR10" s="608"/>
      <c r="BS10" s="608"/>
      <c r="BT10" s="608"/>
      <c r="BU10" s="608"/>
      <c r="BV10" s="608"/>
      <c r="BW10" s="608"/>
      <c r="BX10" s="608"/>
      <c r="BY10" s="608"/>
      <c r="BZ10" s="608"/>
      <c r="CA10" s="608"/>
      <c r="CB10" s="608"/>
      <c r="CC10" s="608"/>
      <c r="CD10" s="608"/>
      <c r="CE10" s="608"/>
      <c r="CF10" s="608"/>
      <c r="CG10" s="608"/>
      <c r="CH10" s="608"/>
      <c r="CI10" s="608"/>
      <c r="CJ10" s="608"/>
      <c r="CK10" s="608"/>
      <c r="CL10" s="608"/>
      <c r="CM10" s="608"/>
      <c r="CN10" s="608"/>
      <c r="CO10" s="608"/>
      <c r="CP10" s="608"/>
      <c r="CQ10" s="608"/>
      <c r="CR10" s="608"/>
      <c r="CS10" s="608"/>
      <c r="CT10" s="608"/>
      <c r="CU10" s="608"/>
      <c r="CV10" s="608"/>
      <c r="CW10" s="608"/>
      <c r="CX10" s="608"/>
      <c r="CY10" s="608"/>
      <c r="CZ10" s="608"/>
      <c r="DA10" s="608"/>
      <c r="DB10" s="608"/>
      <c r="DC10" s="608"/>
      <c r="DD10" s="608"/>
      <c r="DE10" s="608"/>
      <c r="DF10" s="608"/>
      <c r="DG10" s="608"/>
      <c r="DH10" s="608"/>
      <c r="DI10" s="608"/>
      <c r="DJ10" s="608"/>
      <c r="DK10" s="608"/>
      <c r="DL10" s="608"/>
      <c r="DM10" s="608"/>
      <c r="DN10" s="608"/>
      <c r="DO10" s="608"/>
      <c r="DP10" s="608"/>
      <c r="DQ10" s="608"/>
      <c r="DR10" s="608"/>
      <c r="DS10" s="608"/>
      <c r="DT10" s="608"/>
      <c r="DU10" s="608"/>
      <c r="DV10" s="608"/>
      <c r="DW10" s="608"/>
      <c r="DX10" s="608"/>
      <c r="DY10" s="608"/>
      <c r="DZ10" s="608"/>
      <c r="EA10" s="608"/>
      <c r="EB10" s="608"/>
      <c r="EC10" s="608"/>
      <c r="ED10" s="608"/>
      <c r="EE10" s="608"/>
      <c r="EF10" s="608"/>
      <c r="EG10" s="608"/>
      <c r="EH10" s="608"/>
      <c r="EI10" s="608"/>
      <c r="EJ10" s="608"/>
      <c r="EK10" s="608"/>
      <c r="EL10" s="608"/>
      <c r="EM10" s="608"/>
      <c r="EN10" s="608"/>
      <c r="EO10" s="608"/>
      <c r="EP10" s="608"/>
      <c r="EQ10" s="608"/>
      <c r="ER10" s="608"/>
      <c r="ES10" s="608"/>
      <c r="ET10" s="608"/>
      <c r="EU10" s="608"/>
      <c r="EV10" s="608"/>
      <c r="EW10" s="608"/>
      <c r="EX10" s="608"/>
      <c r="EY10" s="608"/>
      <c r="EZ10" s="608"/>
      <c r="FA10" s="608"/>
      <c r="FB10" s="608"/>
      <c r="FC10" s="608"/>
      <c r="FD10" s="608"/>
      <c r="FE10" s="608"/>
      <c r="FF10" s="608"/>
      <c r="FG10" s="608"/>
      <c r="FH10" s="608"/>
      <c r="FI10" s="608"/>
      <c r="FJ10" s="608"/>
      <c r="FK10" s="608"/>
      <c r="FL10" s="608"/>
      <c r="FM10" s="608"/>
      <c r="FN10" s="608"/>
      <c r="FO10" s="608"/>
      <c r="FP10" s="608"/>
      <c r="FQ10" s="608"/>
      <c r="FR10" s="608"/>
      <c r="FS10" s="608"/>
      <c r="FT10" s="608"/>
      <c r="FU10" s="608"/>
      <c r="FV10" s="608"/>
      <c r="FW10" s="608"/>
      <c r="FX10" s="608"/>
      <c r="FY10" s="608"/>
      <c r="FZ10" s="608"/>
      <c r="GA10" s="608"/>
      <c r="GB10" s="608"/>
      <c r="GC10" s="608"/>
      <c r="GD10" s="608"/>
      <c r="GE10" s="608"/>
      <c r="GF10" s="608"/>
      <c r="GG10" s="608"/>
      <c r="GH10" s="608"/>
      <c r="GI10" s="608"/>
      <c r="GJ10" s="608"/>
      <c r="GK10" s="608"/>
      <c r="GL10" s="608"/>
      <c r="GM10" s="608"/>
      <c r="GN10" s="608"/>
      <c r="GO10" s="608"/>
      <c r="GP10" s="608"/>
      <c r="GQ10" s="608"/>
      <c r="GR10" s="608"/>
      <c r="GS10" s="608"/>
      <c r="GT10" s="608"/>
      <c r="GU10" s="608"/>
      <c r="GV10" s="608"/>
      <c r="GW10" s="608"/>
      <c r="GX10" s="608"/>
      <c r="GY10" s="608"/>
      <c r="GZ10" s="608"/>
      <c r="HA10" s="608"/>
      <c r="HB10" s="608"/>
      <c r="HC10" s="608"/>
      <c r="HD10" s="608"/>
      <c r="HE10" s="608"/>
      <c r="HF10" s="608"/>
      <c r="HG10" s="608"/>
      <c r="HH10" s="608"/>
      <c r="HI10" s="608"/>
      <c r="HJ10" s="608"/>
      <c r="HK10" s="608"/>
      <c r="HL10" s="608"/>
      <c r="HM10" s="608"/>
      <c r="HN10" s="608"/>
      <c r="HO10" s="608"/>
      <c r="HP10" s="608"/>
      <c r="HQ10" s="608"/>
      <c r="HR10" s="608"/>
      <c r="HS10" s="608"/>
      <c r="HT10" s="608"/>
      <c r="HU10" s="608"/>
      <c r="HV10" s="608"/>
      <c r="HW10" s="608"/>
      <c r="HX10" s="608"/>
      <c r="HY10" s="608"/>
      <c r="HZ10" s="608"/>
      <c r="IA10" s="608"/>
      <c r="IB10" s="608"/>
      <c r="IC10" s="608"/>
      <c r="ID10" s="608"/>
      <c r="IE10" s="608"/>
      <c r="IF10" s="608"/>
      <c r="IG10" s="608"/>
      <c r="IH10" s="608"/>
      <c r="II10" s="608"/>
      <c r="IJ10" s="608"/>
      <c r="IK10" s="608"/>
      <c r="IL10" s="608"/>
      <c r="IM10" s="608"/>
      <c r="IN10" s="608"/>
      <c r="IO10" s="608"/>
      <c r="IP10" s="608"/>
      <c r="IQ10" s="608"/>
      <c r="IR10" s="608"/>
      <c r="IS10" s="608"/>
      <c r="IT10" s="608"/>
      <c r="IU10" s="608"/>
      <c r="IV10" s="608"/>
    </row>
    <row r="11" spans="1:256" ht="78">
      <c r="A11" s="818"/>
      <c r="B11" s="818"/>
      <c r="C11" s="818"/>
      <c r="D11" s="605" t="s">
        <v>511</v>
      </c>
      <c r="E11" s="605" t="s">
        <v>512</v>
      </c>
      <c r="F11" s="605" t="s">
        <v>513</v>
      </c>
      <c r="G11" s="609"/>
      <c r="H11" s="610">
        <v>0</v>
      </c>
      <c r="I11" s="607" t="s">
        <v>514</v>
      </c>
      <c r="J11" s="607" t="s">
        <v>514</v>
      </c>
      <c r="K11" s="611">
        <v>0</v>
      </c>
      <c r="L11" s="610">
        <v>0.25</v>
      </c>
      <c r="M11" s="605" t="s">
        <v>515</v>
      </c>
      <c r="N11" s="605" t="s">
        <v>516</v>
      </c>
      <c r="O11" s="605" t="s">
        <v>517</v>
      </c>
      <c r="P11" s="605" t="s">
        <v>516</v>
      </c>
      <c r="Q11" s="815"/>
      <c r="R11" s="608"/>
      <c r="S11" s="608"/>
      <c r="T11" s="608"/>
      <c r="U11" s="608"/>
      <c r="V11" s="608"/>
      <c r="W11" s="608"/>
      <c r="X11" s="608"/>
      <c r="Y11" s="608"/>
      <c r="Z11" s="608"/>
      <c r="AA11" s="608"/>
      <c r="AB11" s="608"/>
      <c r="AC11" s="608"/>
      <c r="AD11" s="608"/>
      <c r="AE11" s="608"/>
      <c r="AF11" s="608"/>
      <c r="AG11" s="608"/>
      <c r="AH11" s="608"/>
      <c r="AI11" s="608"/>
      <c r="AJ11" s="608"/>
      <c r="AK11" s="608"/>
      <c r="AL11" s="608"/>
      <c r="AM11" s="608"/>
      <c r="AN11" s="608"/>
      <c r="AO11" s="608"/>
      <c r="AP11" s="608"/>
      <c r="AQ11" s="608"/>
      <c r="AR11" s="608"/>
      <c r="AS11" s="608"/>
      <c r="AT11" s="608"/>
      <c r="AU11" s="608"/>
      <c r="AV11" s="608"/>
      <c r="AW11" s="608"/>
      <c r="AX11" s="608"/>
      <c r="AY11" s="608"/>
      <c r="AZ11" s="608"/>
      <c r="BA11" s="608"/>
      <c r="BB11" s="608"/>
      <c r="BC11" s="608"/>
      <c r="BD11" s="608"/>
      <c r="BE11" s="608"/>
      <c r="BF11" s="608"/>
      <c r="BG11" s="608"/>
      <c r="BH11" s="608"/>
      <c r="BI11" s="608"/>
      <c r="BJ11" s="608"/>
      <c r="BK11" s="608"/>
      <c r="BL11" s="608"/>
      <c r="BM11" s="608"/>
      <c r="BN11" s="608"/>
      <c r="BO11" s="608"/>
      <c r="BP11" s="608"/>
      <c r="BQ11" s="608"/>
      <c r="BR11" s="608"/>
      <c r="BS11" s="608"/>
      <c r="BT11" s="608"/>
      <c r="BU11" s="608"/>
      <c r="BV11" s="608"/>
      <c r="BW11" s="608"/>
      <c r="BX11" s="608"/>
      <c r="BY11" s="608"/>
      <c r="BZ11" s="608"/>
      <c r="CA11" s="608"/>
      <c r="CB11" s="608"/>
      <c r="CC11" s="608"/>
      <c r="CD11" s="608"/>
      <c r="CE11" s="608"/>
      <c r="CF11" s="608"/>
      <c r="CG11" s="608"/>
      <c r="CH11" s="608"/>
      <c r="CI11" s="608"/>
      <c r="CJ11" s="608"/>
      <c r="CK11" s="608"/>
      <c r="CL11" s="608"/>
      <c r="CM11" s="608"/>
      <c r="CN11" s="608"/>
      <c r="CO11" s="608"/>
      <c r="CP11" s="608"/>
      <c r="CQ11" s="608"/>
      <c r="CR11" s="608"/>
      <c r="CS11" s="608"/>
      <c r="CT11" s="608"/>
      <c r="CU11" s="608"/>
      <c r="CV11" s="608"/>
      <c r="CW11" s="608"/>
      <c r="CX11" s="608"/>
      <c r="CY11" s="608"/>
      <c r="CZ11" s="608"/>
      <c r="DA11" s="608"/>
      <c r="DB11" s="608"/>
      <c r="DC11" s="608"/>
      <c r="DD11" s="608"/>
      <c r="DE11" s="608"/>
      <c r="DF11" s="608"/>
      <c r="DG11" s="608"/>
      <c r="DH11" s="608"/>
      <c r="DI11" s="608"/>
      <c r="DJ11" s="608"/>
      <c r="DK11" s="608"/>
      <c r="DL11" s="608"/>
      <c r="DM11" s="608"/>
      <c r="DN11" s="608"/>
      <c r="DO11" s="608"/>
      <c r="DP11" s="608"/>
      <c r="DQ11" s="608"/>
      <c r="DR11" s="608"/>
      <c r="DS11" s="608"/>
      <c r="DT11" s="608"/>
      <c r="DU11" s="608"/>
      <c r="DV11" s="608"/>
      <c r="DW11" s="608"/>
      <c r="DX11" s="608"/>
      <c r="DY11" s="608"/>
      <c r="DZ11" s="608"/>
      <c r="EA11" s="608"/>
      <c r="EB11" s="608"/>
      <c r="EC11" s="608"/>
      <c r="ED11" s="608"/>
      <c r="EE11" s="608"/>
      <c r="EF11" s="608"/>
      <c r="EG11" s="608"/>
      <c r="EH11" s="608"/>
      <c r="EI11" s="608"/>
      <c r="EJ11" s="608"/>
      <c r="EK11" s="608"/>
      <c r="EL11" s="608"/>
      <c r="EM11" s="608"/>
      <c r="EN11" s="608"/>
      <c r="EO11" s="608"/>
      <c r="EP11" s="608"/>
      <c r="EQ11" s="608"/>
      <c r="ER11" s="608"/>
      <c r="ES11" s="608"/>
      <c r="ET11" s="608"/>
      <c r="EU11" s="608"/>
      <c r="EV11" s="608"/>
      <c r="EW11" s="608"/>
      <c r="EX11" s="608"/>
      <c r="EY11" s="608"/>
      <c r="EZ11" s="608"/>
      <c r="FA11" s="608"/>
      <c r="FB11" s="608"/>
      <c r="FC11" s="608"/>
      <c r="FD11" s="608"/>
      <c r="FE11" s="608"/>
      <c r="FF11" s="608"/>
      <c r="FG11" s="608"/>
      <c r="FH11" s="608"/>
      <c r="FI11" s="608"/>
      <c r="FJ11" s="608"/>
      <c r="FK11" s="608"/>
      <c r="FL11" s="608"/>
      <c r="FM11" s="608"/>
      <c r="FN11" s="608"/>
      <c r="FO11" s="608"/>
      <c r="FP11" s="608"/>
      <c r="FQ11" s="608"/>
      <c r="FR11" s="608"/>
      <c r="FS11" s="608"/>
      <c r="FT11" s="608"/>
      <c r="FU11" s="608"/>
      <c r="FV11" s="608"/>
      <c r="FW11" s="608"/>
      <c r="FX11" s="608"/>
      <c r="FY11" s="608"/>
      <c r="FZ11" s="608"/>
      <c r="GA11" s="608"/>
      <c r="GB11" s="608"/>
      <c r="GC11" s="608"/>
      <c r="GD11" s="608"/>
      <c r="GE11" s="608"/>
      <c r="GF11" s="608"/>
      <c r="GG11" s="608"/>
      <c r="GH11" s="608"/>
      <c r="GI11" s="608"/>
      <c r="GJ11" s="608"/>
      <c r="GK11" s="608"/>
      <c r="GL11" s="608"/>
      <c r="GM11" s="608"/>
      <c r="GN11" s="608"/>
      <c r="GO11" s="608"/>
      <c r="GP11" s="608"/>
      <c r="GQ11" s="608"/>
      <c r="GR11" s="608"/>
      <c r="GS11" s="608"/>
      <c r="GT11" s="608"/>
      <c r="GU11" s="608"/>
      <c r="GV11" s="608"/>
      <c r="GW11" s="608"/>
      <c r="GX11" s="608"/>
      <c r="GY11" s="608"/>
      <c r="GZ11" s="608"/>
      <c r="HA11" s="608"/>
      <c r="HB11" s="608"/>
      <c r="HC11" s="608"/>
      <c r="HD11" s="608"/>
      <c r="HE11" s="608"/>
      <c r="HF11" s="608"/>
      <c r="HG11" s="608"/>
      <c r="HH11" s="608"/>
      <c r="HI11" s="608"/>
      <c r="HJ11" s="608"/>
      <c r="HK11" s="608"/>
      <c r="HL11" s="608"/>
      <c r="HM11" s="608"/>
      <c r="HN11" s="608"/>
      <c r="HO11" s="608"/>
      <c r="HP11" s="608"/>
      <c r="HQ11" s="608"/>
      <c r="HR11" s="608"/>
      <c r="HS11" s="608"/>
      <c r="HT11" s="608"/>
      <c r="HU11" s="608"/>
      <c r="HV11" s="608"/>
      <c r="HW11" s="608"/>
      <c r="HX11" s="608"/>
      <c r="HY11" s="608"/>
      <c r="HZ11" s="608"/>
      <c r="IA11" s="608"/>
      <c r="IB11" s="608"/>
      <c r="IC11" s="608"/>
      <c r="ID11" s="608"/>
      <c r="IE11" s="608"/>
      <c r="IF11" s="608"/>
      <c r="IG11" s="608"/>
      <c r="IH11" s="608"/>
      <c r="II11" s="608"/>
      <c r="IJ11" s="608"/>
      <c r="IK11" s="608"/>
      <c r="IL11" s="608"/>
      <c r="IM11" s="608"/>
      <c r="IN11" s="608"/>
      <c r="IO11" s="608"/>
      <c r="IP11" s="608"/>
      <c r="IQ11" s="608"/>
      <c r="IR11" s="608"/>
      <c r="IS11" s="608"/>
      <c r="IT11" s="608"/>
      <c r="IU11" s="608"/>
      <c r="IV11" s="608"/>
    </row>
    <row r="12" spans="1:256">
      <c r="A12" s="612" t="s">
        <v>518</v>
      </c>
      <c r="B12" s="613"/>
      <c r="C12" s="614"/>
      <c r="D12" s="613"/>
      <c r="E12" s="613"/>
      <c r="F12" s="613"/>
      <c r="G12" s="613"/>
      <c r="H12" s="613"/>
      <c r="I12" s="613"/>
      <c r="J12" s="613"/>
      <c r="K12" s="613"/>
      <c r="L12" s="613"/>
      <c r="M12" s="613"/>
      <c r="N12" s="613"/>
      <c r="O12" s="613"/>
      <c r="P12" s="613"/>
      <c r="Q12" s="615"/>
    </row>
    <row r="13" spans="1:256" ht="69" customHeight="1">
      <c r="A13" s="616" t="s">
        <v>160</v>
      </c>
      <c r="B13" s="546" t="s">
        <v>407</v>
      </c>
      <c r="C13" s="541" t="s">
        <v>405</v>
      </c>
      <c r="D13" s="618"/>
      <c r="E13" s="619"/>
      <c r="F13" s="619"/>
      <c r="G13" s="620"/>
      <c r="H13" s="621"/>
      <c r="I13" s="621"/>
      <c r="J13" s="622">
        <f>203/100</f>
        <v>2.0299999999999998</v>
      </c>
      <c r="K13" s="690"/>
      <c r="L13" s="693">
        <f t="shared" ref="L13:L19" si="0">0.75*J13</f>
        <v>1.5225</v>
      </c>
      <c r="M13" s="690"/>
      <c r="N13" s="621"/>
      <c r="O13" s="621"/>
      <c r="P13" s="695">
        <f t="shared" ref="P13:P19" si="1">L13</f>
        <v>1.5225</v>
      </c>
      <c r="Q13" s="694">
        <f>P13</f>
        <v>1.5225</v>
      </c>
      <c r="R13" s="604"/>
      <c r="S13" s="604"/>
      <c r="T13" s="604"/>
      <c r="U13" s="604"/>
      <c r="V13" s="604"/>
      <c r="W13" s="604"/>
      <c r="X13" s="604"/>
      <c r="Y13" s="604"/>
      <c r="Z13" s="604"/>
      <c r="AA13" s="604"/>
      <c r="AB13" s="604"/>
      <c r="AC13" s="604"/>
      <c r="AD13" s="604"/>
      <c r="AE13" s="604"/>
      <c r="AF13" s="604"/>
      <c r="AG13" s="604"/>
      <c r="AH13" s="604"/>
      <c r="AI13" s="604"/>
      <c r="AJ13" s="604"/>
      <c r="AK13" s="604"/>
      <c r="AL13" s="604"/>
      <c r="AM13" s="604"/>
      <c r="AN13" s="604"/>
      <c r="AO13" s="604"/>
      <c r="AP13" s="604"/>
      <c r="AQ13" s="604"/>
      <c r="AR13" s="604"/>
      <c r="AS13" s="604"/>
      <c r="AT13" s="604"/>
      <c r="AU13" s="604"/>
      <c r="AV13" s="604"/>
      <c r="AW13" s="604"/>
      <c r="AX13" s="604"/>
      <c r="AY13" s="604"/>
      <c r="AZ13" s="604"/>
      <c r="BA13" s="604"/>
      <c r="BB13" s="604"/>
      <c r="BC13" s="604"/>
      <c r="BD13" s="604"/>
      <c r="BE13" s="604"/>
      <c r="BF13" s="604"/>
      <c r="BG13" s="604"/>
      <c r="BH13" s="604"/>
      <c r="BI13" s="604"/>
      <c r="BJ13" s="604"/>
      <c r="BK13" s="604"/>
      <c r="BL13" s="604"/>
      <c r="BM13" s="604"/>
      <c r="BN13" s="604"/>
      <c r="BO13" s="604"/>
      <c r="BP13" s="604"/>
      <c r="BQ13" s="604"/>
      <c r="BR13" s="604"/>
      <c r="BS13" s="604"/>
      <c r="BT13" s="604"/>
      <c r="BU13" s="604"/>
      <c r="BV13" s="604"/>
      <c r="BW13" s="604"/>
      <c r="BX13" s="604"/>
      <c r="BY13" s="604"/>
      <c r="BZ13" s="604"/>
      <c r="CA13" s="604"/>
      <c r="CB13" s="604"/>
      <c r="CC13" s="604"/>
      <c r="CD13" s="604"/>
      <c r="CE13" s="604"/>
      <c r="CF13" s="604"/>
      <c r="CG13" s="604"/>
      <c r="CH13" s="604"/>
      <c r="CI13" s="604"/>
      <c r="CJ13" s="604"/>
      <c r="CK13" s="604"/>
      <c r="CL13" s="604"/>
      <c r="CM13" s="604"/>
      <c r="CN13" s="604"/>
      <c r="CO13" s="604"/>
      <c r="CP13" s="604"/>
      <c r="CQ13" s="604"/>
      <c r="CR13" s="604"/>
      <c r="CS13" s="604"/>
      <c r="CT13" s="604"/>
      <c r="CU13" s="604"/>
      <c r="CV13" s="604"/>
      <c r="CW13" s="604"/>
      <c r="CX13" s="604"/>
      <c r="CY13" s="604"/>
      <c r="CZ13" s="604"/>
      <c r="DA13" s="604"/>
      <c r="DB13" s="604"/>
      <c r="DC13" s="604"/>
      <c r="DD13" s="604"/>
      <c r="DE13" s="604"/>
      <c r="DF13" s="604"/>
      <c r="DG13" s="604"/>
      <c r="DH13" s="604"/>
      <c r="DI13" s="604"/>
      <c r="DJ13" s="604"/>
      <c r="DK13" s="604"/>
      <c r="DL13" s="604"/>
      <c r="DM13" s="604"/>
      <c r="DN13" s="604"/>
      <c r="DO13" s="604"/>
      <c r="DP13" s="604"/>
      <c r="DQ13" s="604"/>
      <c r="DR13" s="604"/>
      <c r="DS13" s="604"/>
      <c r="DT13" s="604"/>
      <c r="DU13" s="604"/>
      <c r="DV13" s="604"/>
      <c r="DW13" s="604"/>
      <c r="DX13" s="604"/>
      <c r="DY13" s="604"/>
      <c r="DZ13" s="604"/>
      <c r="EA13" s="604"/>
      <c r="EB13" s="604"/>
      <c r="EC13" s="604"/>
      <c r="ED13" s="604"/>
      <c r="EE13" s="604"/>
      <c r="EF13" s="604"/>
      <c r="EG13" s="604"/>
      <c r="EH13" s="604"/>
      <c r="EI13" s="604"/>
      <c r="EJ13" s="604"/>
      <c r="EK13" s="604"/>
      <c r="EL13" s="604"/>
      <c r="EM13" s="604"/>
      <c r="EN13" s="604"/>
      <c r="EO13" s="604"/>
      <c r="EP13" s="604"/>
      <c r="EQ13" s="604"/>
      <c r="ER13" s="604"/>
      <c r="ES13" s="604"/>
      <c r="ET13" s="604"/>
      <c r="EU13" s="604"/>
      <c r="EV13" s="604"/>
      <c r="EW13" s="604"/>
      <c r="EX13" s="604"/>
      <c r="EY13" s="604"/>
      <c r="EZ13" s="604"/>
      <c r="FA13" s="604"/>
      <c r="FB13" s="604"/>
      <c r="FC13" s="604"/>
      <c r="FD13" s="604"/>
      <c r="FE13" s="604"/>
      <c r="FF13" s="604"/>
      <c r="FG13" s="604"/>
      <c r="FH13" s="604"/>
      <c r="FI13" s="604"/>
      <c r="FJ13" s="604"/>
      <c r="FK13" s="604"/>
      <c r="FL13" s="604"/>
      <c r="FM13" s="604"/>
      <c r="FN13" s="604"/>
      <c r="FO13" s="604"/>
      <c r="FP13" s="604"/>
      <c r="FQ13" s="604"/>
      <c r="FR13" s="604"/>
      <c r="FS13" s="604"/>
      <c r="FT13" s="604"/>
      <c r="FU13" s="604"/>
      <c r="FV13" s="604"/>
      <c r="FW13" s="604"/>
      <c r="FX13" s="604"/>
      <c r="FY13" s="604"/>
      <c r="FZ13" s="604"/>
      <c r="GA13" s="604"/>
      <c r="GB13" s="604"/>
      <c r="GC13" s="604"/>
      <c r="GD13" s="604"/>
      <c r="GE13" s="604"/>
      <c r="GF13" s="604"/>
      <c r="GG13" s="604"/>
      <c r="GH13" s="604"/>
      <c r="GI13" s="604"/>
      <c r="GJ13" s="604"/>
      <c r="GK13" s="604"/>
      <c r="GL13" s="604"/>
      <c r="GM13" s="604"/>
      <c r="GN13" s="604"/>
      <c r="GO13" s="604"/>
      <c r="GP13" s="604"/>
      <c r="GQ13" s="604"/>
      <c r="GR13" s="604"/>
      <c r="GS13" s="604"/>
      <c r="GT13" s="604"/>
      <c r="GU13" s="604"/>
      <c r="GV13" s="604"/>
      <c r="GW13" s="604"/>
      <c r="GX13" s="604"/>
      <c r="GY13" s="604"/>
      <c r="GZ13" s="604"/>
      <c r="HA13" s="604"/>
      <c r="HB13" s="604"/>
      <c r="HC13" s="604"/>
      <c r="HD13" s="604"/>
      <c r="HE13" s="604"/>
      <c r="HF13" s="604"/>
      <c r="HG13" s="604"/>
      <c r="HH13" s="604"/>
      <c r="HI13" s="604"/>
      <c r="HJ13" s="604"/>
      <c r="HK13" s="604"/>
      <c r="HL13" s="604"/>
      <c r="HM13" s="604"/>
      <c r="HN13" s="604"/>
      <c r="HO13" s="604"/>
      <c r="HP13" s="604"/>
      <c r="HQ13" s="604"/>
      <c r="HR13" s="604"/>
      <c r="HS13" s="604"/>
      <c r="HT13" s="604"/>
      <c r="HU13" s="604"/>
      <c r="HV13" s="604"/>
      <c r="HW13" s="604"/>
      <c r="HX13" s="604"/>
      <c r="HY13" s="604"/>
      <c r="HZ13" s="604"/>
      <c r="IA13" s="604"/>
      <c r="IB13" s="604"/>
      <c r="IC13" s="604"/>
      <c r="ID13" s="604"/>
      <c r="IE13" s="604"/>
      <c r="IF13" s="604"/>
      <c r="IG13" s="604"/>
      <c r="IH13" s="604"/>
      <c r="II13" s="604"/>
      <c r="IJ13" s="604"/>
      <c r="IK13" s="604"/>
      <c r="IL13" s="604"/>
      <c r="IM13" s="604"/>
      <c r="IN13" s="604"/>
      <c r="IO13" s="604"/>
      <c r="IP13" s="604"/>
      <c r="IQ13" s="604"/>
      <c r="IR13" s="604"/>
      <c r="IS13" s="604"/>
      <c r="IT13" s="604"/>
      <c r="IU13" s="604"/>
      <c r="IV13" s="604"/>
    </row>
    <row r="14" spans="1:256" ht="53.25" customHeight="1">
      <c r="A14" s="616" t="s">
        <v>519</v>
      </c>
      <c r="B14" s="546" t="s">
        <v>409</v>
      </c>
      <c r="C14" s="547" t="s">
        <v>408</v>
      </c>
      <c r="D14" s="688"/>
      <c r="E14" s="689"/>
      <c r="F14" s="689"/>
      <c r="G14" s="690"/>
      <c r="H14" s="691"/>
      <c r="I14" s="691"/>
      <c r="J14" s="622">
        <f>46.43/100</f>
        <v>0.46429999999999999</v>
      </c>
      <c r="K14" s="690"/>
      <c r="L14" s="693">
        <f t="shared" si="0"/>
        <v>0.34822500000000001</v>
      </c>
      <c r="M14" s="690"/>
      <c r="N14" s="624"/>
      <c r="O14" s="624"/>
      <c r="P14" s="695">
        <f t="shared" si="1"/>
        <v>0.34822500000000001</v>
      </c>
      <c r="Q14" s="694">
        <f t="shared" ref="Q14:Q19" si="2">P14</f>
        <v>0.34822500000000001</v>
      </c>
      <c r="R14" s="604"/>
      <c r="S14" s="604"/>
      <c r="T14" s="604"/>
      <c r="U14" s="604"/>
      <c r="V14" s="604"/>
      <c r="W14" s="604"/>
      <c r="X14" s="604"/>
      <c r="Y14" s="604"/>
      <c r="Z14" s="604"/>
      <c r="AA14" s="604"/>
      <c r="AB14" s="604"/>
      <c r="AC14" s="604"/>
      <c r="AD14" s="604"/>
      <c r="AE14" s="604"/>
      <c r="AF14" s="604"/>
      <c r="AG14" s="604"/>
      <c r="AH14" s="604"/>
      <c r="AI14" s="604"/>
      <c r="AJ14" s="604"/>
      <c r="AK14" s="604"/>
      <c r="AL14" s="604"/>
      <c r="AM14" s="604"/>
      <c r="AN14" s="604"/>
      <c r="AO14" s="604"/>
      <c r="AP14" s="604"/>
      <c r="AQ14" s="604"/>
      <c r="AR14" s="604"/>
      <c r="AS14" s="604"/>
      <c r="AT14" s="604"/>
      <c r="AU14" s="604"/>
      <c r="AV14" s="604"/>
      <c r="AW14" s="604"/>
      <c r="AX14" s="604"/>
      <c r="AY14" s="604"/>
      <c r="AZ14" s="604"/>
      <c r="BA14" s="604"/>
      <c r="BB14" s="604"/>
      <c r="BC14" s="604"/>
      <c r="BD14" s="604"/>
      <c r="BE14" s="604"/>
      <c r="BF14" s="604"/>
      <c r="BG14" s="604"/>
      <c r="BH14" s="604"/>
      <c r="BI14" s="604"/>
      <c r="BJ14" s="604"/>
      <c r="BK14" s="604"/>
      <c r="BL14" s="604"/>
      <c r="BM14" s="604"/>
      <c r="BN14" s="604"/>
      <c r="BO14" s="604"/>
      <c r="BP14" s="604"/>
      <c r="BQ14" s="604"/>
      <c r="BR14" s="604"/>
      <c r="BS14" s="604"/>
      <c r="BT14" s="604"/>
      <c r="BU14" s="604"/>
      <c r="BV14" s="604"/>
      <c r="BW14" s="604"/>
      <c r="BX14" s="604"/>
      <c r="BY14" s="604"/>
      <c r="BZ14" s="604"/>
      <c r="CA14" s="604"/>
      <c r="CB14" s="604"/>
      <c r="CC14" s="604"/>
      <c r="CD14" s="604"/>
      <c r="CE14" s="604"/>
      <c r="CF14" s="604"/>
      <c r="CG14" s="604"/>
      <c r="CH14" s="604"/>
      <c r="CI14" s="604"/>
      <c r="CJ14" s="604"/>
      <c r="CK14" s="604"/>
      <c r="CL14" s="604"/>
      <c r="CM14" s="604"/>
      <c r="CN14" s="604"/>
      <c r="CO14" s="604"/>
      <c r="CP14" s="604"/>
      <c r="CQ14" s="604"/>
      <c r="CR14" s="604"/>
      <c r="CS14" s="604"/>
      <c r="CT14" s="604"/>
      <c r="CU14" s="604"/>
      <c r="CV14" s="604"/>
      <c r="CW14" s="604"/>
      <c r="CX14" s="604"/>
      <c r="CY14" s="604"/>
      <c r="CZ14" s="604"/>
      <c r="DA14" s="604"/>
      <c r="DB14" s="604"/>
      <c r="DC14" s="604"/>
      <c r="DD14" s="604"/>
      <c r="DE14" s="604"/>
      <c r="DF14" s="604"/>
      <c r="DG14" s="604"/>
      <c r="DH14" s="604"/>
      <c r="DI14" s="604"/>
      <c r="DJ14" s="604"/>
      <c r="DK14" s="604"/>
      <c r="DL14" s="604"/>
      <c r="DM14" s="604"/>
      <c r="DN14" s="604"/>
      <c r="DO14" s="604"/>
      <c r="DP14" s="604"/>
      <c r="DQ14" s="604"/>
      <c r="DR14" s="604"/>
      <c r="DS14" s="604"/>
      <c r="DT14" s="604"/>
      <c r="DU14" s="604"/>
      <c r="DV14" s="604"/>
      <c r="DW14" s="604"/>
      <c r="DX14" s="604"/>
      <c r="DY14" s="604"/>
      <c r="DZ14" s="604"/>
      <c r="EA14" s="604"/>
      <c r="EB14" s="604"/>
      <c r="EC14" s="604"/>
      <c r="ED14" s="604"/>
      <c r="EE14" s="604"/>
      <c r="EF14" s="604"/>
      <c r="EG14" s="604"/>
      <c r="EH14" s="604"/>
      <c r="EI14" s="604"/>
      <c r="EJ14" s="604"/>
      <c r="EK14" s="604"/>
      <c r="EL14" s="604"/>
      <c r="EM14" s="604"/>
      <c r="EN14" s="604"/>
      <c r="EO14" s="604"/>
      <c r="EP14" s="604"/>
      <c r="EQ14" s="604"/>
      <c r="ER14" s="604"/>
      <c r="ES14" s="604"/>
      <c r="ET14" s="604"/>
      <c r="EU14" s="604"/>
      <c r="EV14" s="604"/>
      <c r="EW14" s="604"/>
      <c r="EX14" s="604"/>
      <c r="EY14" s="604"/>
      <c r="EZ14" s="604"/>
      <c r="FA14" s="604"/>
      <c r="FB14" s="604"/>
      <c r="FC14" s="604"/>
      <c r="FD14" s="604"/>
      <c r="FE14" s="604"/>
      <c r="FF14" s="604"/>
      <c r="FG14" s="604"/>
      <c r="FH14" s="604"/>
      <c r="FI14" s="604"/>
      <c r="FJ14" s="604"/>
      <c r="FK14" s="604"/>
      <c r="FL14" s="604"/>
      <c r="FM14" s="604"/>
      <c r="FN14" s="604"/>
      <c r="FO14" s="604"/>
      <c r="FP14" s="604"/>
      <c r="FQ14" s="604"/>
      <c r="FR14" s="604"/>
      <c r="FS14" s="604"/>
      <c r="FT14" s="604"/>
      <c r="FU14" s="604"/>
      <c r="FV14" s="604"/>
      <c r="FW14" s="604"/>
      <c r="FX14" s="604"/>
      <c r="FY14" s="604"/>
      <c r="FZ14" s="604"/>
      <c r="GA14" s="604"/>
      <c r="GB14" s="604"/>
      <c r="GC14" s="604"/>
      <c r="GD14" s="604"/>
      <c r="GE14" s="604"/>
      <c r="GF14" s="604"/>
      <c r="GG14" s="604"/>
      <c r="GH14" s="604"/>
      <c r="GI14" s="604"/>
      <c r="GJ14" s="604"/>
      <c r="GK14" s="604"/>
      <c r="GL14" s="604"/>
      <c r="GM14" s="604"/>
      <c r="GN14" s="604"/>
      <c r="GO14" s="604"/>
      <c r="GP14" s="604"/>
      <c r="GQ14" s="604"/>
      <c r="GR14" s="604"/>
      <c r="GS14" s="604"/>
      <c r="GT14" s="604"/>
      <c r="GU14" s="604"/>
      <c r="GV14" s="604"/>
      <c r="GW14" s="604"/>
      <c r="GX14" s="604"/>
      <c r="GY14" s="604"/>
      <c r="GZ14" s="604"/>
      <c r="HA14" s="604"/>
      <c r="HB14" s="604"/>
      <c r="HC14" s="604"/>
      <c r="HD14" s="604"/>
      <c r="HE14" s="604"/>
      <c r="HF14" s="604"/>
      <c r="HG14" s="604"/>
      <c r="HH14" s="604"/>
      <c r="HI14" s="604"/>
      <c r="HJ14" s="604"/>
      <c r="HK14" s="604"/>
      <c r="HL14" s="604"/>
      <c r="HM14" s="604"/>
      <c r="HN14" s="604"/>
      <c r="HO14" s="604"/>
      <c r="HP14" s="604"/>
      <c r="HQ14" s="604"/>
      <c r="HR14" s="604"/>
      <c r="HS14" s="604"/>
      <c r="HT14" s="604"/>
      <c r="HU14" s="604"/>
      <c r="HV14" s="604"/>
      <c r="HW14" s="604"/>
      <c r="HX14" s="604"/>
      <c r="HY14" s="604"/>
      <c r="HZ14" s="604"/>
      <c r="IA14" s="604"/>
      <c r="IB14" s="604"/>
      <c r="IC14" s="604"/>
      <c r="ID14" s="604"/>
      <c r="IE14" s="604"/>
      <c r="IF14" s="604"/>
      <c r="IG14" s="604"/>
      <c r="IH14" s="604"/>
      <c r="II14" s="604"/>
      <c r="IJ14" s="604"/>
      <c r="IK14" s="604"/>
      <c r="IL14" s="604"/>
      <c r="IM14" s="604"/>
      <c r="IN14" s="604"/>
      <c r="IO14" s="604"/>
      <c r="IP14" s="604"/>
      <c r="IQ14" s="604"/>
      <c r="IR14" s="604"/>
      <c r="IS14" s="604"/>
      <c r="IT14" s="604"/>
      <c r="IU14" s="604"/>
      <c r="IV14" s="604"/>
    </row>
    <row r="15" spans="1:256" ht="45">
      <c r="A15" s="616" t="s">
        <v>50</v>
      </c>
      <c r="B15" s="546" t="s">
        <v>579</v>
      </c>
      <c r="C15" s="547" t="s">
        <v>410</v>
      </c>
      <c r="D15" s="688"/>
      <c r="E15" s="689"/>
      <c r="F15" s="689"/>
      <c r="G15" s="690"/>
      <c r="H15" s="691"/>
      <c r="I15" s="691"/>
      <c r="J15" s="622">
        <f>21.42/100</f>
        <v>0.21420000000000003</v>
      </c>
      <c r="K15" s="690"/>
      <c r="L15" s="693">
        <f t="shared" si="0"/>
        <v>0.16065000000000002</v>
      </c>
      <c r="M15" s="690"/>
      <c r="N15" s="624"/>
      <c r="O15" s="624"/>
      <c r="P15" s="695">
        <f t="shared" si="1"/>
        <v>0.16065000000000002</v>
      </c>
      <c r="Q15" s="694">
        <f t="shared" si="2"/>
        <v>0.16065000000000002</v>
      </c>
      <c r="R15" s="604"/>
      <c r="S15" s="604"/>
      <c r="T15" s="604"/>
      <c r="U15" s="604"/>
      <c r="V15" s="604"/>
      <c r="W15" s="604"/>
      <c r="X15" s="604"/>
      <c r="Y15" s="604"/>
      <c r="Z15" s="604"/>
      <c r="AA15" s="604"/>
      <c r="AB15" s="604"/>
      <c r="AC15" s="604"/>
      <c r="AD15" s="604"/>
      <c r="AE15" s="604"/>
      <c r="AF15" s="604"/>
      <c r="AG15" s="604"/>
      <c r="AH15" s="604"/>
      <c r="AI15" s="604"/>
      <c r="AJ15" s="604"/>
      <c r="AK15" s="604"/>
      <c r="AL15" s="604"/>
      <c r="AM15" s="604"/>
      <c r="AN15" s="604"/>
      <c r="AO15" s="604"/>
      <c r="AP15" s="604"/>
      <c r="AQ15" s="604"/>
      <c r="AR15" s="604"/>
      <c r="AS15" s="604"/>
      <c r="AT15" s="604"/>
      <c r="AU15" s="604"/>
      <c r="AV15" s="604"/>
      <c r="AW15" s="604"/>
      <c r="AX15" s="604"/>
      <c r="AY15" s="604"/>
      <c r="AZ15" s="604"/>
      <c r="BA15" s="604"/>
      <c r="BB15" s="604"/>
      <c r="BC15" s="604"/>
      <c r="BD15" s="604"/>
      <c r="BE15" s="604"/>
      <c r="BF15" s="604"/>
      <c r="BG15" s="604"/>
      <c r="BH15" s="604"/>
      <c r="BI15" s="604"/>
      <c r="BJ15" s="604"/>
      <c r="BK15" s="604"/>
      <c r="BL15" s="604"/>
      <c r="BM15" s="604"/>
      <c r="BN15" s="604"/>
      <c r="BO15" s="604"/>
      <c r="BP15" s="604"/>
      <c r="BQ15" s="604"/>
      <c r="BR15" s="604"/>
      <c r="BS15" s="604"/>
      <c r="BT15" s="604"/>
      <c r="BU15" s="604"/>
      <c r="BV15" s="604"/>
      <c r="BW15" s="604"/>
      <c r="BX15" s="604"/>
      <c r="BY15" s="604"/>
      <c r="BZ15" s="604"/>
      <c r="CA15" s="604"/>
      <c r="CB15" s="604"/>
      <c r="CC15" s="604"/>
      <c r="CD15" s="604"/>
      <c r="CE15" s="604"/>
      <c r="CF15" s="604"/>
      <c r="CG15" s="604"/>
      <c r="CH15" s="604"/>
      <c r="CI15" s="604"/>
      <c r="CJ15" s="604"/>
      <c r="CK15" s="604"/>
      <c r="CL15" s="604"/>
      <c r="CM15" s="604"/>
      <c r="CN15" s="604"/>
      <c r="CO15" s="604"/>
      <c r="CP15" s="604"/>
      <c r="CQ15" s="604"/>
      <c r="CR15" s="604"/>
      <c r="CS15" s="604"/>
      <c r="CT15" s="604"/>
      <c r="CU15" s="604"/>
      <c r="CV15" s="604"/>
      <c r="CW15" s="604"/>
      <c r="CX15" s="604"/>
      <c r="CY15" s="604"/>
      <c r="CZ15" s="604"/>
      <c r="DA15" s="604"/>
      <c r="DB15" s="604"/>
      <c r="DC15" s="604"/>
      <c r="DD15" s="604"/>
      <c r="DE15" s="604"/>
      <c r="DF15" s="604"/>
      <c r="DG15" s="604"/>
      <c r="DH15" s="604"/>
      <c r="DI15" s="604"/>
      <c r="DJ15" s="604"/>
      <c r="DK15" s="604"/>
      <c r="DL15" s="604"/>
      <c r="DM15" s="604"/>
      <c r="DN15" s="604"/>
      <c r="DO15" s="604"/>
      <c r="DP15" s="604"/>
      <c r="DQ15" s="604"/>
      <c r="DR15" s="604"/>
      <c r="DS15" s="604"/>
      <c r="DT15" s="604"/>
      <c r="DU15" s="604"/>
      <c r="DV15" s="604"/>
      <c r="DW15" s="604"/>
      <c r="DX15" s="604"/>
      <c r="DY15" s="604"/>
      <c r="DZ15" s="604"/>
      <c r="EA15" s="604"/>
      <c r="EB15" s="604"/>
      <c r="EC15" s="604"/>
      <c r="ED15" s="604"/>
      <c r="EE15" s="604"/>
      <c r="EF15" s="604"/>
      <c r="EG15" s="604"/>
      <c r="EH15" s="604"/>
      <c r="EI15" s="604"/>
      <c r="EJ15" s="604"/>
      <c r="EK15" s="604"/>
      <c r="EL15" s="604"/>
      <c r="EM15" s="604"/>
      <c r="EN15" s="604"/>
      <c r="EO15" s="604"/>
      <c r="EP15" s="604"/>
      <c r="EQ15" s="604"/>
      <c r="ER15" s="604"/>
      <c r="ES15" s="604"/>
      <c r="ET15" s="604"/>
      <c r="EU15" s="604"/>
      <c r="EV15" s="604"/>
      <c r="EW15" s="604"/>
      <c r="EX15" s="604"/>
      <c r="EY15" s="604"/>
      <c r="EZ15" s="604"/>
      <c r="FA15" s="604"/>
      <c r="FB15" s="604"/>
      <c r="FC15" s="604"/>
      <c r="FD15" s="604"/>
      <c r="FE15" s="604"/>
      <c r="FF15" s="604"/>
      <c r="FG15" s="604"/>
      <c r="FH15" s="604"/>
      <c r="FI15" s="604"/>
      <c r="FJ15" s="604"/>
      <c r="FK15" s="604"/>
      <c r="FL15" s="604"/>
      <c r="FM15" s="604"/>
      <c r="FN15" s="604"/>
      <c r="FO15" s="604"/>
      <c r="FP15" s="604"/>
      <c r="FQ15" s="604"/>
      <c r="FR15" s="604"/>
      <c r="FS15" s="604"/>
      <c r="FT15" s="604"/>
      <c r="FU15" s="604"/>
      <c r="FV15" s="604"/>
      <c r="FW15" s="604"/>
      <c r="FX15" s="604"/>
      <c r="FY15" s="604"/>
      <c r="FZ15" s="604"/>
      <c r="GA15" s="604"/>
      <c r="GB15" s="604"/>
      <c r="GC15" s="604"/>
      <c r="GD15" s="604"/>
      <c r="GE15" s="604"/>
      <c r="GF15" s="604"/>
      <c r="GG15" s="604"/>
      <c r="GH15" s="604"/>
      <c r="GI15" s="604"/>
      <c r="GJ15" s="604"/>
      <c r="GK15" s="604"/>
      <c r="GL15" s="604"/>
      <c r="GM15" s="604"/>
      <c r="GN15" s="604"/>
      <c r="GO15" s="604"/>
      <c r="GP15" s="604"/>
      <c r="GQ15" s="604"/>
      <c r="GR15" s="604"/>
      <c r="GS15" s="604"/>
      <c r="GT15" s="604"/>
      <c r="GU15" s="604"/>
      <c r="GV15" s="604"/>
      <c r="GW15" s="604"/>
      <c r="GX15" s="604"/>
      <c r="GY15" s="604"/>
      <c r="GZ15" s="604"/>
      <c r="HA15" s="604"/>
      <c r="HB15" s="604"/>
      <c r="HC15" s="604"/>
      <c r="HD15" s="604"/>
      <c r="HE15" s="604"/>
      <c r="HF15" s="604"/>
      <c r="HG15" s="604"/>
      <c r="HH15" s="604"/>
      <c r="HI15" s="604"/>
      <c r="HJ15" s="604"/>
      <c r="HK15" s="604"/>
      <c r="HL15" s="604"/>
      <c r="HM15" s="604"/>
      <c r="HN15" s="604"/>
      <c r="HO15" s="604"/>
      <c r="HP15" s="604"/>
      <c r="HQ15" s="604"/>
      <c r="HR15" s="604"/>
      <c r="HS15" s="604"/>
      <c r="HT15" s="604"/>
      <c r="HU15" s="604"/>
      <c r="HV15" s="604"/>
      <c r="HW15" s="604"/>
      <c r="HX15" s="604"/>
      <c r="HY15" s="604"/>
      <c r="HZ15" s="604"/>
      <c r="IA15" s="604"/>
      <c r="IB15" s="604"/>
      <c r="IC15" s="604"/>
      <c r="ID15" s="604"/>
      <c r="IE15" s="604"/>
      <c r="IF15" s="604"/>
      <c r="IG15" s="604"/>
      <c r="IH15" s="604"/>
      <c r="II15" s="604"/>
      <c r="IJ15" s="604"/>
      <c r="IK15" s="604"/>
      <c r="IL15" s="604"/>
      <c r="IM15" s="604"/>
      <c r="IN15" s="604"/>
      <c r="IO15" s="604"/>
      <c r="IP15" s="604"/>
      <c r="IQ15" s="604"/>
      <c r="IR15" s="604"/>
      <c r="IS15" s="604"/>
      <c r="IT15" s="604"/>
      <c r="IU15" s="604"/>
      <c r="IV15" s="604"/>
    </row>
    <row r="16" spans="1:256" ht="74.25" customHeight="1">
      <c r="A16" s="685" t="s">
        <v>51</v>
      </c>
      <c r="B16" s="687" t="s">
        <v>572</v>
      </c>
      <c r="C16" s="617" t="s">
        <v>573</v>
      </c>
      <c r="D16" s="688"/>
      <c r="E16" s="689"/>
      <c r="F16" s="689"/>
      <c r="G16" s="690"/>
      <c r="H16" s="691"/>
      <c r="I16" s="691"/>
      <c r="J16" s="693">
        <f>(30.15+8.25)/100</f>
        <v>0.38400000000000001</v>
      </c>
      <c r="K16" s="623"/>
      <c r="L16" s="693">
        <f t="shared" si="0"/>
        <v>0.28800000000000003</v>
      </c>
      <c r="M16" s="623"/>
      <c r="N16" s="624"/>
      <c r="O16" s="624"/>
      <c r="P16" s="695">
        <f t="shared" si="1"/>
        <v>0.28800000000000003</v>
      </c>
      <c r="Q16" s="694">
        <f>P16</f>
        <v>0.28800000000000003</v>
      </c>
      <c r="R16" s="604"/>
      <c r="S16" s="604"/>
      <c r="T16" s="604"/>
      <c r="U16" s="604"/>
      <c r="V16" s="604"/>
      <c r="W16" s="604"/>
      <c r="X16" s="604"/>
      <c r="Y16" s="604"/>
      <c r="Z16" s="604"/>
      <c r="AA16" s="604"/>
      <c r="AB16" s="604"/>
      <c r="AC16" s="604"/>
      <c r="AD16" s="604"/>
      <c r="AE16" s="604"/>
      <c r="AF16" s="604"/>
      <c r="AG16" s="604"/>
      <c r="AH16" s="604"/>
      <c r="AI16" s="604"/>
      <c r="AJ16" s="604"/>
      <c r="AK16" s="604"/>
      <c r="AL16" s="604"/>
      <c r="AM16" s="604"/>
      <c r="AN16" s="604"/>
      <c r="AO16" s="604"/>
      <c r="AP16" s="604"/>
      <c r="AQ16" s="604"/>
      <c r="AR16" s="604"/>
      <c r="AS16" s="604"/>
      <c r="AT16" s="604"/>
      <c r="AU16" s="604"/>
      <c r="AV16" s="604"/>
      <c r="AW16" s="604"/>
      <c r="AX16" s="604"/>
      <c r="AY16" s="604"/>
      <c r="AZ16" s="604"/>
      <c r="BA16" s="604"/>
      <c r="BB16" s="604"/>
      <c r="BC16" s="604"/>
      <c r="BD16" s="604"/>
      <c r="BE16" s="604"/>
      <c r="BF16" s="604"/>
      <c r="BG16" s="604"/>
      <c r="BH16" s="604"/>
      <c r="BI16" s="604"/>
      <c r="BJ16" s="604"/>
      <c r="BK16" s="604"/>
      <c r="BL16" s="604"/>
      <c r="BM16" s="604"/>
      <c r="BN16" s="604"/>
      <c r="BO16" s="604"/>
      <c r="BP16" s="604"/>
      <c r="BQ16" s="604"/>
      <c r="BR16" s="604"/>
      <c r="BS16" s="604"/>
      <c r="BT16" s="604"/>
      <c r="BU16" s="604"/>
      <c r="BV16" s="604"/>
      <c r="BW16" s="604"/>
      <c r="BX16" s="604"/>
      <c r="BY16" s="604"/>
      <c r="BZ16" s="604"/>
      <c r="CA16" s="604"/>
      <c r="CB16" s="604"/>
      <c r="CC16" s="604"/>
      <c r="CD16" s="604"/>
      <c r="CE16" s="604"/>
      <c r="CF16" s="604"/>
      <c r="CG16" s="604"/>
      <c r="CH16" s="604"/>
      <c r="CI16" s="604"/>
      <c r="CJ16" s="604"/>
      <c r="CK16" s="604"/>
      <c r="CL16" s="604"/>
      <c r="CM16" s="604"/>
      <c r="CN16" s="604"/>
      <c r="CO16" s="604"/>
      <c r="CP16" s="604"/>
      <c r="CQ16" s="604"/>
      <c r="CR16" s="604"/>
      <c r="CS16" s="604"/>
      <c r="CT16" s="604"/>
      <c r="CU16" s="604"/>
      <c r="CV16" s="604"/>
      <c r="CW16" s="604"/>
      <c r="CX16" s="604"/>
      <c r="CY16" s="604"/>
      <c r="CZ16" s="604"/>
      <c r="DA16" s="604"/>
      <c r="DB16" s="604"/>
      <c r="DC16" s="604"/>
      <c r="DD16" s="604"/>
      <c r="DE16" s="604"/>
      <c r="DF16" s="604"/>
      <c r="DG16" s="604"/>
      <c r="DH16" s="604"/>
      <c r="DI16" s="604"/>
      <c r="DJ16" s="604"/>
      <c r="DK16" s="604"/>
      <c r="DL16" s="604"/>
      <c r="DM16" s="604"/>
      <c r="DN16" s="604"/>
      <c r="DO16" s="604"/>
      <c r="DP16" s="604"/>
      <c r="DQ16" s="604"/>
      <c r="DR16" s="604"/>
      <c r="DS16" s="604"/>
      <c r="DT16" s="604"/>
      <c r="DU16" s="604"/>
      <c r="DV16" s="604"/>
      <c r="DW16" s="604"/>
      <c r="DX16" s="604"/>
      <c r="DY16" s="604"/>
      <c r="DZ16" s="604"/>
      <c r="EA16" s="604"/>
      <c r="EB16" s="604"/>
      <c r="EC16" s="604"/>
      <c r="ED16" s="604"/>
      <c r="EE16" s="604"/>
      <c r="EF16" s="604"/>
      <c r="EG16" s="604"/>
      <c r="EH16" s="604"/>
      <c r="EI16" s="604"/>
      <c r="EJ16" s="604"/>
      <c r="EK16" s="604"/>
      <c r="EL16" s="604"/>
      <c r="EM16" s="604"/>
      <c r="EN16" s="604"/>
      <c r="EO16" s="604"/>
      <c r="EP16" s="604"/>
      <c r="EQ16" s="604"/>
      <c r="ER16" s="604"/>
      <c r="ES16" s="604"/>
      <c r="ET16" s="604"/>
      <c r="EU16" s="604"/>
      <c r="EV16" s="604"/>
      <c r="EW16" s="604"/>
      <c r="EX16" s="604"/>
      <c r="EY16" s="604"/>
      <c r="EZ16" s="604"/>
      <c r="FA16" s="604"/>
      <c r="FB16" s="604"/>
      <c r="FC16" s="604"/>
      <c r="FD16" s="604"/>
      <c r="FE16" s="604"/>
      <c r="FF16" s="604"/>
      <c r="FG16" s="604"/>
      <c r="FH16" s="604"/>
      <c r="FI16" s="604"/>
      <c r="FJ16" s="604"/>
      <c r="FK16" s="604"/>
      <c r="FL16" s="604"/>
      <c r="FM16" s="604"/>
      <c r="FN16" s="604"/>
      <c r="FO16" s="604"/>
      <c r="FP16" s="604"/>
      <c r="FQ16" s="604"/>
      <c r="FR16" s="604"/>
      <c r="FS16" s="604"/>
      <c r="FT16" s="604"/>
      <c r="FU16" s="604"/>
      <c r="FV16" s="604"/>
      <c r="FW16" s="604"/>
      <c r="FX16" s="604"/>
      <c r="FY16" s="604"/>
      <c r="FZ16" s="604"/>
      <c r="GA16" s="604"/>
      <c r="GB16" s="604"/>
      <c r="GC16" s="604"/>
      <c r="GD16" s="604"/>
      <c r="GE16" s="604"/>
      <c r="GF16" s="604"/>
      <c r="GG16" s="604"/>
      <c r="GH16" s="604"/>
      <c r="GI16" s="604"/>
      <c r="GJ16" s="604"/>
      <c r="GK16" s="604"/>
      <c r="GL16" s="604"/>
      <c r="GM16" s="604"/>
      <c r="GN16" s="604"/>
      <c r="GO16" s="604"/>
      <c r="GP16" s="604"/>
      <c r="GQ16" s="604"/>
      <c r="GR16" s="604"/>
      <c r="GS16" s="604"/>
      <c r="GT16" s="604"/>
      <c r="GU16" s="604"/>
      <c r="GV16" s="604"/>
      <c r="GW16" s="604"/>
      <c r="GX16" s="604"/>
      <c r="GY16" s="604"/>
      <c r="GZ16" s="604"/>
      <c r="HA16" s="604"/>
      <c r="HB16" s="604"/>
      <c r="HC16" s="604"/>
      <c r="HD16" s="604"/>
      <c r="HE16" s="604"/>
      <c r="HF16" s="604"/>
      <c r="HG16" s="604"/>
      <c r="HH16" s="604"/>
      <c r="HI16" s="604"/>
      <c r="HJ16" s="604"/>
      <c r="HK16" s="604"/>
      <c r="HL16" s="604"/>
      <c r="HM16" s="604"/>
      <c r="HN16" s="604"/>
      <c r="HO16" s="604"/>
      <c r="HP16" s="604"/>
      <c r="HQ16" s="604"/>
      <c r="HR16" s="604"/>
      <c r="HS16" s="604"/>
      <c r="HT16" s="604"/>
      <c r="HU16" s="604"/>
      <c r="HV16" s="604"/>
      <c r="HW16" s="604"/>
      <c r="HX16" s="604"/>
      <c r="HY16" s="604"/>
      <c r="HZ16" s="604"/>
      <c r="IA16" s="604"/>
      <c r="IB16" s="604"/>
      <c r="IC16" s="604"/>
      <c r="ID16" s="604"/>
      <c r="IE16" s="604"/>
      <c r="IF16" s="604"/>
      <c r="IG16" s="604"/>
      <c r="IH16" s="604"/>
      <c r="II16" s="604"/>
      <c r="IJ16" s="604"/>
      <c r="IK16" s="604"/>
      <c r="IL16" s="604"/>
      <c r="IM16" s="604"/>
      <c r="IN16" s="604"/>
      <c r="IO16" s="604"/>
      <c r="IP16" s="604"/>
      <c r="IQ16" s="604"/>
      <c r="IR16" s="604"/>
      <c r="IS16" s="604"/>
      <c r="IT16" s="604"/>
      <c r="IU16" s="604"/>
      <c r="IV16" s="604"/>
    </row>
    <row r="17" spans="1:256" ht="42" customHeight="1">
      <c r="A17" s="685" t="s">
        <v>52</v>
      </c>
      <c r="B17" s="687" t="s">
        <v>574</v>
      </c>
      <c r="C17" s="617" t="s">
        <v>575</v>
      </c>
      <c r="D17" s="688"/>
      <c r="E17" s="689"/>
      <c r="F17" s="689"/>
      <c r="G17" s="690"/>
      <c r="H17" s="691"/>
      <c r="I17" s="691"/>
      <c r="J17" s="692">
        <f>54.8/100</f>
        <v>0.54799999999999993</v>
      </c>
      <c r="K17" s="623"/>
      <c r="L17" s="693">
        <f t="shared" si="0"/>
        <v>0.41099999999999992</v>
      </c>
      <c r="M17" s="623"/>
      <c r="N17" s="624"/>
      <c r="O17" s="624"/>
      <c r="P17" s="695">
        <f t="shared" si="1"/>
        <v>0.41099999999999992</v>
      </c>
      <c r="Q17" s="694">
        <f t="shared" si="2"/>
        <v>0.41099999999999992</v>
      </c>
      <c r="R17" s="604"/>
      <c r="S17" s="604"/>
      <c r="T17" s="604"/>
      <c r="U17" s="604"/>
      <c r="V17" s="604"/>
      <c r="W17" s="604"/>
      <c r="X17" s="604"/>
      <c r="Y17" s="604"/>
      <c r="Z17" s="604"/>
      <c r="AA17" s="604"/>
      <c r="AB17" s="604"/>
      <c r="AC17" s="604"/>
      <c r="AD17" s="604"/>
      <c r="AE17" s="604"/>
      <c r="AF17" s="604"/>
      <c r="AG17" s="604"/>
      <c r="AH17" s="604"/>
      <c r="AI17" s="604"/>
      <c r="AJ17" s="604"/>
      <c r="AK17" s="604"/>
      <c r="AL17" s="604"/>
      <c r="AM17" s="604"/>
      <c r="AN17" s="604"/>
      <c r="AO17" s="604"/>
      <c r="AP17" s="604"/>
      <c r="AQ17" s="604"/>
      <c r="AR17" s="604"/>
      <c r="AS17" s="604"/>
      <c r="AT17" s="604"/>
      <c r="AU17" s="604"/>
      <c r="AV17" s="604"/>
      <c r="AW17" s="604"/>
      <c r="AX17" s="604"/>
      <c r="AY17" s="604"/>
      <c r="AZ17" s="604"/>
      <c r="BA17" s="604"/>
      <c r="BB17" s="604"/>
      <c r="BC17" s="604"/>
      <c r="BD17" s="604"/>
      <c r="BE17" s="604"/>
      <c r="BF17" s="604"/>
      <c r="BG17" s="604"/>
      <c r="BH17" s="604"/>
      <c r="BI17" s="604"/>
      <c r="BJ17" s="604"/>
      <c r="BK17" s="604"/>
      <c r="BL17" s="604"/>
      <c r="BM17" s="604"/>
      <c r="BN17" s="604"/>
      <c r="BO17" s="604"/>
      <c r="BP17" s="604"/>
      <c r="BQ17" s="604"/>
      <c r="BR17" s="604"/>
      <c r="BS17" s="604"/>
      <c r="BT17" s="604"/>
      <c r="BU17" s="604"/>
      <c r="BV17" s="604"/>
      <c r="BW17" s="604"/>
      <c r="BX17" s="604"/>
      <c r="BY17" s="604"/>
      <c r="BZ17" s="604"/>
      <c r="CA17" s="604"/>
      <c r="CB17" s="604"/>
      <c r="CC17" s="604"/>
      <c r="CD17" s="604"/>
      <c r="CE17" s="604"/>
      <c r="CF17" s="604"/>
      <c r="CG17" s="604"/>
      <c r="CH17" s="604"/>
      <c r="CI17" s="604"/>
      <c r="CJ17" s="604"/>
      <c r="CK17" s="604"/>
      <c r="CL17" s="604"/>
      <c r="CM17" s="604"/>
      <c r="CN17" s="604"/>
      <c r="CO17" s="604"/>
      <c r="CP17" s="604"/>
      <c r="CQ17" s="604"/>
      <c r="CR17" s="604"/>
      <c r="CS17" s="604"/>
      <c r="CT17" s="604"/>
      <c r="CU17" s="604"/>
      <c r="CV17" s="604"/>
      <c r="CW17" s="604"/>
      <c r="CX17" s="604"/>
      <c r="CY17" s="604"/>
      <c r="CZ17" s="604"/>
      <c r="DA17" s="604"/>
      <c r="DB17" s="604"/>
      <c r="DC17" s="604"/>
      <c r="DD17" s="604"/>
      <c r="DE17" s="604"/>
      <c r="DF17" s="604"/>
      <c r="DG17" s="604"/>
      <c r="DH17" s="604"/>
      <c r="DI17" s="604"/>
      <c r="DJ17" s="604"/>
      <c r="DK17" s="604"/>
      <c r="DL17" s="604"/>
      <c r="DM17" s="604"/>
      <c r="DN17" s="604"/>
      <c r="DO17" s="604"/>
      <c r="DP17" s="604"/>
      <c r="DQ17" s="604"/>
      <c r="DR17" s="604"/>
      <c r="DS17" s="604"/>
      <c r="DT17" s="604"/>
      <c r="DU17" s="604"/>
      <c r="DV17" s="604"/>
      <c r="DW17" s="604"/>
      <c r="DX17" s="604"/>
      <c r="DY17" s="604"/>
      <c r="DZ17" s="604"/>
      <c r="EA17" s="604"/>
      <c r="EB17" s="604"/>
      <c r="EC17" s="604"/>
      <c r="ED17" s="604"/>
      <c r="EE17" s="604"/>
      <c r="EF17" s="604"/>
      <c r="EG17" s="604"/>
      <c r="EH17" s="604"/>
      <c r="EI17" s="604"/>
      <c r="EJ17" s="604"/>
      <c r="EK17" s="604"/>
      <c r="EL17" s="604"/>
      <c r="EM17" s="604"/>
      <c r="EN17" s="604"/>
      <c r="EO17" s="604"/>
      <c r="EP17" s="604"/>
      <c r="EQ17" s="604"/>
      <c r="ER17" s="604"/>
      <c r="ES17" s="604"/>
      <c r="ET17" s="604"/>
      <c r="EU17" s="604"/>
      <c r="EV17" s="604"/>
      <c r="EW17" s="604"/>
      <c r="EX17" s="604"/>
      <c r="EY17" s="604"/>
      <c r="EZ17" s="604"/>
      <c r="FA17" s="604"/>
      <c r="FB17" s="604"/>
      <c r="FC17" s="604"/>
      <c r="FD17" s="604"/>
      <c r="FE17" s="604"/>
      <c r="FF17" s="604"/>
      <c r="FG17" s="604"/>
      <c r="FH17" s="604"/>
      <c r="FI17" s="604"/>
      <c r="FJ17" s="604"/>
      <c r="FK17" s="604"/>
      <c r="FL17" s="604"/>
      <c r="FM17" s="604"/>
      <c r="FN17" s="604"/>
      <c r="FO17" s="604"/>
      <c r="FP17" s="604"/>
      <c r="FQ17" s="604"/>
      <c r="FR17" s="604"/>
      <c r="FS17" s="604"/>
      <c r="FT17" s="604"/>
      <c r="FU17" s="604"/>
      <c r="FV17" s="604"/>
      <c r="FW17" s="604"/>
      <c r="FX17" s="604"/>
      <c r="FY17" s="604"/>
      <c r="FZ17" s="604"/>
      <c r="GA17" s="604"/>
      <c r="GB17" s="604"/>
      <c r="GC17" s="604"/>
      <c r="GD17" s="604"/>
      <c r="GE17" s="604"/>
      <c r="GF17" s="604"/>
      <c r="GG17" s="604"/>
      <c r="GH17" s="604"/>
      <c r="GI17" s="604"/>
      <c r="GJ17" s="604"/>
      <c r="GK17" s="604"/>
      <c r="GL17" s="604"/>
      <c r="GM17" s="604"/>
      <c r="GN17" s="604"/>
      <c r="GO17" s="604"/>
      <c r="GP17" s="604"/>
      <c r="GQ17" s="604"/>
      <c r="GR17" s="604"/>
      <c r="GS17" s="604"/>
      <c r="GT17" s="604"/>
      <c r="GU17" s="604"/>
      <c r="GV17" s="604"/>
      <c r="GW17" s="604"/>
      <c r="GX17" s="604"/>
      <c r="GY17" s="604"/>
      <c r="GZ17" s="604"/>
      <c r="HA17" s="604"/>
      <c r="HB17" s="604"/>
      <c r="HC17" s="604"/>
      <c r="HD17" s="604"/>
      <c r="HE17" s="604"/>
      <c r="HF17" s="604"/>
      <c r="HG17" s="604"/>
      <c r="HH17" s="604"/>
      <c r="HI17" s="604"/>
      <c r="HJ17" s="604"/>
      <c r="HK17" s="604"/>
      <c r="HL17" s="604"/>
      <c r="HM17" s="604"/>
      <c r="HN17" s="604"/>
      <c r="HO17" s="604"/>
      <c r="HP17" s="604"/>
      <c r="HQ17" s="604"/>
      <c r="HR17" s="604"/>
      <c r="HS17" s="604"/>
      <c r="HT17" s="604"/>
      <c r="HU17" s="604"/>
      <c r="HV17" s="604"/>
      <c r="HW17" s="604"/>
      <c r="HX17" s="604"/>
      <c r="HY17" s="604"/>
      <c r="HZ17" s="604"/>
      <c r="IA17" s="604"/>
      <c r="IB17" s="604"/>
      <c r="IC17" s="604"/>
      <c r="ID17" s="604"/>
      <c r="IE17" s="604"/>
      <c r="IF17" s="604"/>
      <c r="IG17" s="604"/>
      <c r="IH17" s="604"/>
      <c r="II17" s="604"/>
      <c r="IJ17" s="604"/>
      <c r="IK17" s="604"/>
      <c r="IL17" s="604"/>
      <c r="IM17" s="604"/>
      <c r="IN17" s="604"/>
      <c r="IO17" s="604"/>
      <c r="IP17" s="604"/>
      <c r="IQ17" s="604"/>
      <c r="IR17" s="604"/>
      <c r="IS17" s="604"/>
      <c r="IT17" s="604"/>
      <c r="IU17" s="604"/>
      <c r="IV17" s="604"/>
    </row>
    <row r="18" spans="1:256" ht="42" customHeight="1">
      <c r="A18" s="685" t="s">
        <v>53</v>
      </c>
      <c r="B18" s="687" t="s">
        <v>577</v>
      </c>
      <c r="C18" s="617" t="s">
        <v>576</v>
      </c>
      <c r="D18" s="688"/>
      <c r="E18" s="689"/>
      <c r="F18" s="689"/>
      <c r="G18" s="690"/>
      <c r="H18" s="691"/>
      <c r="I18" s="691"/>
      <c r="J18" s="686">
        <f>2.03/100</f>
        <v>2.0299999999999999E-2</v>
      </c>
      <c r="K18" s="623"/>
      <c r="L18" s="693">
        <f t="shared" si="0"/>
        <v>1.5224999999999999E-2</v>
      </c>
      <c r="M18" s="623"/>
      <c r="N18" s="624"/>
      <c r="O18" s="624"/>
      <c r="P18" s="695">
        <f t="shared" si="1"/>
        <v>1.5224999999999999E-2</v>
      </c>
      <c r="Q18" s="694">
        <f t="shared" si="2"/>
        <v>1.5224999999999999E-2</v>
      </c>
      <c r="R18" s="604"/>
      <c r="S18" s="604"/>
      <c r="T18" s="604"/>
      <c r="U18" s="604"/>
      <c r="V18" s="604"/>
      <c r="W18" s="604"/>
      <c r="X18" s="604"/>
      <c r="Y18" s="604"/>
      <c r="Z18" s="604"/>
      <c r="AA18" s="604"/>
      <c r="AB18" s="604"/>
      <c r="AC18" s="604"/>
      <c r="AD18" s="604"/>
      <c r="AE18" s="604"/>
      <c r="AF18" s="604"/>
      <c r="AG18" s="604"/>
      <c r="AH18" s="604"/>
      <c r="AI18" s="604"/>
      <c r="AJ18" s="604"/>
      <c r="AK18" s="604"/>
      <c r="AL18" s="604"/>
      <c r="AM18" s="604"/>
      <c r="AN18" s="604"/>
      <c r="AO18" s="604"/>
      <c r="AP18" s="604"/>
      <c r="AQ18" s="604"/>
      <c r="AR18" s="604"/>
      <c r="AS18" s="604"/>
      <c r="AT18" s="604"/>
      <c r="AU18" s="604"/>
      <c r="AV18" s="604"/>
      <c r="AW18" s="604"/>
      <c r="AX18" s="604"/>
      <c r="AY18" s="604"/>
      <c r="AZ18" s="604"/>
      <c r="BA18" s="604"/>
      <c r="BB18" s="604"/>
      <c r="BC18" s="604"/>
      <c r="BD18" s="604"/>
      <c r="BE18" s="604"/>
      <c r="BF18" s="604"/>
      <c r="BG18" s="604"/>
      <c r="BH18" s="604"/>
      <c r="BI18" s="604"/>
      <c r="BJ18" s="604"/>
      <c r="BK18" s="604"/>
      <c r="BL18" s="604"/>
      <c r="BM18" s="604"/>
      <c r="BN18" s="604"/>
      <c r="BO18" s="604"/>
      <c r="BP18" s="604"/>
      <c r="BQ18" s="604"/>
      <c r="BR18" s="604"/>
      <c r="BS18" s="604"/>
      <c r="BT18" s="604"/>
      <c r="BU18" s="604"/>
      <c r="BV18" s="604"/>
      <c r="BW18" s="604"/>
      <c r="BX18" s="604"/>
      <c r="BY18" s="604"/>
      <c r="BZ18" s="604"/>
      <c r="CA18" s="604"/>
      <c r="CB18" s="604"/>
      <c r="CC18" s="604"/>
      <c r="CD18" s="604"/>
      <c r="CE18" s="604"/>
      <c r="CF18" s="604"/>
      <c r="CG18" s="604"/>
      <c r="CH18" s="604"/>
      <c r="CI18" s="604"/>
      <c r="CJ18" s="604"/>
      <c r="CK18" s="604"/>
      <c r="CL18" s="604"/>
      <c r="CM18" s="604"/>
      <c r="CN18" s="604"/>
      <c r="CO18" s="604"/>
      <c r="CP18" s="604"/>
      <c r="CQ18" s="604"/>
      <c r="CR18" s="604"/>
      <c r="CS18" s="604"/>
      <c r="CT18" s="604"/>
      <c r="CU18" s="604"/>
      <c r="CV18" s="604"/>
      <c r="CW18" s="604"/>
      <c r="CX18" s="604"/>
      <c r="CY18" s="604"/>
      <c r="CZ18" s="604"/>
      <c r="DA18" s="604"/>
      <c r="DB18" s="604"/>
      <c r="DC18" s="604"/>
      <c r="DD18" s="604"/>
      <c r="DE18" s="604"/>
      <c r="DF18" s="604"/>
      <c r="DG18" s="604"/>
      <c r="DH18" s="604"/>
      <c r="DI18" s="604"/>
      <c r="DJ18" s="604"/>
      <c r="DK18" s="604"/>
      <c r="DL18" s="604"/>
      <c r="DM18" s="604"/>
      <c r="DN18" s="604"/>
      <c r="DO18" s="604"/>
      <c r="DP18" s="604"/>
      <c r="DQ18" s="604"/>
      <c r="DR18" s="604"/>
      <c r="DS18" s="604"/>
      <c r="DT18" s="604"/>
      <c r="DU18" s="604"/>
      <c r="DV18" s="604"/>
      <c r="DW18" s="604"/>
      <c r="DX18" s="604"/>
      <c r="DY18" s="604"/>
      <c r="DZ18" s="604"/>
      <c r="EA18" s="604"/>
      <c r="EB18" s="604"/>
      <c r="EC18" s="604"/>
      <c r="ED18" s="604"/>
      <c r="EE18" s="604"/>
      <c r="EF18" s="604"/>
      <c r="EG18" s="604"/>
      <c r="EH18" s="604"/>
      <c r="EI18" s="604"/>
      <c r="EJ18" s="604"/>
      <c r="EK18" s="604"/>
      <c r="EL18" s="604"/>
      <c r="EM18" s="604"/>
      <c r="EN18" s="604"/>
      <c r="EO18" s="604"/>
      <c r="EP18" s="604"/>
      <c r="EQ18" s="604"/>
      <c r="ER18" s="604"/>
      <c r="ES18" s="604"/>
      <c r="ET18" s="604"/>
      <c r="EU18" s="604"/>
      <c r="EV18" s="604"/>
      <c r="EW18" s="604"/>
      <c r="EX18" s="604"/>
      <c r="EY18" s="604"/>
      <c r="EZ18" s="604"/>
      <c r="FA18" s="604"/>
      <c r="FB18" s="604"/>
      <c r="FC18" s="604"/>
      <c r="FD18" s="604"/>
      <c r="FE18" s="604"/>
      <c r="FF18" s="604"/>
      <c r="FG18" s="604"/>
      <c r="FH18" s="604"/>
      <c r="FI18" s="604"/>
      <c r="FJ18" s="604"/>
      <c r="FK18" s="604"/>
      <c r="FL18" s="604"/>
      <c r="FM18" s="604"/>
      <c r="FN18" s="604"/>
      <c r="FO18" s="604"/>
      <c r="FP18" s="604"/>
      <c r="FQ18" s="604"/>
      <c r="FR18" s="604"/>
      <c r="FS18" s="604"/>
      <c r="FT18" s="604"/>
      <c r="FU18" s="604"/>
      <c r="FV18" s="604"/>
      <c r="FW18" s="604"/>
      <c r="FX18" s="604"/>
      <c r="FY18" s="604"/>
      <c r="FZ18" s="604"/>
      <c r="GA18" s="604"/>
      <c r="GB18" s="604"/>
      <c r="GC18" s="604"/>
      <c r="GD18" s="604"/>
      <c r="GE18" s="604"/>
      <c r="GF18" s="604"/>
      <c r="GG18" s="604"/>
      <c r="GH18" s="604"/>
      <c r="GI18" s="604"/>
      <c r="GJ18" s="604"/>
      <c r="GK18" s="604"/>
      <c r="GL18" s="604"/>
      <c r="GM18" s="604"/>
      <c r="GN18" s="604"/>
      <c r="GO18" s="604"/>
      <c r="GP18" s="604"/>
      <c r="GQ18" s="604"/>
      <c r="GR18" s="604"/>
      <c r="GS18" s="604"/>
      <c r="GT18" s="604"/>
      <c r="GU18" s="604"/>
      <c r="GV18" s="604"/>
      <c r="GW18" s="604"/>
      <c r="GX18" s="604"/>
      <c r="GY18" s="604"/>
      <c r="GZ18" s="604"/>
      <c r="HA18" s="604"/>
      <c r="HB18" s="604"/>
      <c r="HC18" s="604"/>
      <c r="HD18" s="604"/>
      <c r="HE18" s="604"/>
      <c r="HF18" s="604"/>
      <c r="HG18" s="604"/>
      <c r="HH18" s="604"/>
      <c r="HI18" s="604"/>
      <c r="HJ18" s="604"/>
      <c r="HK18" s="604"/>
      <c r="HL18" s="604"/>
      <c r="HM18" s="604"/>
      <c r="HN18" s="604"/>
      <c r="HO18" s="604"/>
      <c r="HP18" s="604"/>
      <c r="HQ18" s="604"/>
      <c r="HR18" s="604"/>
      <c r="HS18" s="604"/>
      <c r="HT18" s="604"/>
      <c r="HU18" s="604"/>
      <c r="HV18" s="604"/>
      <c r="HW18" s="604"/>
      <c r="HX18" s="604"/>
      <c r="HY18" s="604"/>
      <c r="HZ18" s="604"/>
      <c r="IA18" s="604"/>
      <c r="IB18" s="604"/>
      <c r="IC18" s="604"/>
      <c r="ID18" s="604"/>
      <c r="IE18" s="604"/>
      <c r="IF18" s="604"/>
      <c r="IG18" s="604"/>
      <c r="IH18" s="604"/>
      <c r="II18" s="604"/>
      <c r="IJ18" s="604"/>
      <c r="IK18" s="604"/>
      <c r="IL18" s="604"/>
      <c r="IM18" s="604"/>
      <c r="IN18" s="604"/>
      <c r="IO18" s="604"/>
      <c r="IP18" s="604"/>
      <c r="IQ18" s="604"/>
      <c r="IR18" s="604"/>
      <c r="IS18" s="604"/>
      <c r="IT18" s="604"/>
      <c r="IU18" s="604"/>
      <c r="IV18" s="604"/>
    </row>
    <row r="19" spans="1:256" ht="42" customHeight="1">
      <c r="A19" s="685" t="s">
        <v>54</v>
      </c>
      <c r="B19" s="687" t="s">
        <v>591</v>
      </c>
      <c r="C19" s="617" t="s">
        <v>578</v>
      </c>
      <c r="D19" s="688"/>
      <c r="E19" s="689"/>
      <c r="F19" s="689"/>
      <c r="G19" s="690"/>
      <c r="H19" s="691"/>
      <c r="I19" s="691"/>
      <c r="J19" s="686">
        <f>5.26/100</f>
        <v>5.2600000000000001E-2</v>
      </c>
      <c r="K19" s="623"/>
      <c r="L19" s="693">
        <f t="shared" si="0"/>
        <v>3.9449999999999999E-2</v>
      </c>
      <c r="M19" s="623"/>
      <c r="N19" s="624"/>
      <c r="O19" s="624"/>
      <c r="P19" s="695">
        <f t="shared" si="1"/>
        <v>3.9449999999999999E-2</v>
      </c>
      <c r="Q19" s="694">
        <f t="shared" si="2"/>
        <v>3.9449999999999999E-2</v>
      </c>
      <c r="R19" s="604"/>
      <c r="S19" s="604"/>
      <c r="T19" s="604"/>
      <c r="U19" s="604"/>
      <c r="V19" s="604"/>
      <c r="W19" s="604"/>
      <c r="X19" s="604"/>
      <c r="Y19" s="604"/>
      <c r="Z19" s="604"/>
      <c r="AA19" s="604"/>
      <c r="AB19" s="604"/>
      <c r="AC19" s="604"/>
      <c r="AD19" s="604"/>
      <c r="AE19" s="604"/>
      <c r="AF19" s="604"/>
      <c r="AG19" s="604"/>
      <c r="AH19" s="604"/>
      <c r="AI19" s="604"/>
      <c r="AJ19" s="604"/>
      <c r="AK19" s="604"/>
      <c r="AL19" s="604"/>
      <c r="AM19" s="604"/>
      <c r="AN19" s="604"/>
      <c r="AO19" s="604"/>
      <c r="AP19" s="604"/>
      <c r="AQ19" s="604"/>
      <c r="AR19" s="604"/>
      <c r="AS19" s="604"/>
      <c r="AT19" s="604"/>
      <c r="AU19" s="604"/>
      <c r="AV19" s="604"/>
      <c r="AW19" s="604"/>
      <c r="AX19" s="604"/>
      <c r="AY19" s="604"/>
      <c r="AZ19" s="604"/>
      <c r="BA19" s="604"/>
      <c r="BB19" s="604"/>
      <c r="BC19" s="604"/>
      <c r="BD19" s="604"/>
      <c r="BE19" s="604"/>
      <c r="BF19" s="604"/>
      <c r="BG19" s="604"/>
      <c r="BH19" s="604"/>
      <c r="BI19" s="604"/>
      <c r="BJ19" s="604"/>
      <c r="BK19" s="604"/>
      <c r="BL19" s="604"/>
      <c r="BM19" s="604"/>
      <c r="BN19" s="604"/>
      <c r="BO19" s="604"/>
      <c r="BP19" s="604"/>
      <c r="BQ19" s="604"/>
      <c r="BR19" s="604"/>
      <c r="BS19" s="604"/>
      <c r="BT19" s="604"/>
      <c r="BU19" s="604"/>
      <c r="BV19" s="604"/>
      <c r="BW19" s="604"/>
      <c r="BX19" s="604"/>
      <c r="BY19" s="604"/>
      <c r="BZ19" s="604"/>
      <c r="CA19" s="604"/>
      <c r="CB19" s="604"/>
      <c r="CC19" s="604"/>
      <c r="CD19" s="604"/>
      <c r="CE19" s="604"/>
      <c r="CF19" s="604"/>
      <c r="CG19" s="604"/>
      <c r="CH19" s="604"/>
      <c r="CI19" s="604"/>
      <c r="CJ19" s="604"/>
      <c r="CK19" s="604"/>
      <c r="CL19" s="604"/>
      <c r="CM19" s="604"/>
      <c r="CN19" s="604"/>
      <c r="CO19" s="604"/>
      <c r="CP19" s="604"/>
      <c r="CQ19" s="604"/>
      <c r="CR19" s="604"/>
      <c r="CS19" s="604"/>
      <c r="CT19" s="604"/>
      <c r="CU19" s="604"/>
      <c r="CV19" s="604"/>
      <c r="CW19" s="604"/>
      <c r="CX19" s="604"/>
      <c r="CY19" s="604"/>
      <c r="CZ19" s="604"/>
      <c r="DA19" s="604"/>
      <c r="DB19" s="604"/>
      <c r="DC19" s="604"/>
      <c r="DD19" s="604"/>
      <c r="DE19" s="604"/>
      <c r="DF19" s="604"/>
      <c r="DG19" s="604"/>
      <c r="DH19" s="604"/>
      <c r="DI19" s="604"/>
      <c r="DJ19" s="604"/>
      <c r="DK19" s="604"/>
      <c r="DL19" s="604"/>
      <c r="DM19" s="604"/>
      <c r="DN19" s="604"/>
      <c r="DO19" s="604"/>
      <c r="DP19" s="604"/>
      <c r="DQ19" s="604"/>
      <c r="DR19" s="604"/>
      <c r="DS19" s="604"/>
      <c r="DT19" s="604"/>
      <c r="DU19" s="604"/>
      <c r="DV19" s="604"/>
      <c r="DW19" s="604"/>
      <c r="DX19" s="604"/>
      <c r="DY19" s="604"/>
      <c r="DZ19" s="604"/>
      <c r="EA19" s="604"/>
      <c r="EB19" s="604"/>
      <c r="EC19" s="604"/>
      <c r="ED19" s="604"/>
      <c r="EE19" s="604"/>
      <c r="EF19" s="604"/>
      <c r="EG19" s="604"/>
      <c r="EH19" s="604"/>
      <c r="EI19" s="604"/>
      <c r="EJ19" s="604"/>
      <c r="EK19" s="604"/>
      <c r="EL19" s="604"/>
      <c r="EM19" s="604"/>
      <c r="EN19" s="604"/>
      <c r="EO19" s="604"/>
      <c r="EP19" s="604"/>
      <c r="EQ19" s="604"/>
      <c r="ER19" s="604"/>
      <c r="ES19" s="604"/>
      <c r="ET19" s="604"/>
      <c r="EU19" s="604"/>
      <c r="EV19" s="604"/>
      <c r="EW19" s="604"/>
      <c r="EX19" s="604"/>
      <c r="EY19" s="604"/>
      <c r="EZ19" s="604"/>
      <c r="FA19" s="604"/>
      <c r="FB19" s="604"/>
      <c r="FC19" s="604"/>
      <c r="FD19" s="604"/>
      <c r="FE19" s="604"/>
      <c r="FF19" s="604"/>
      <c r="FG19" s="604"/>
      <c r="FH19" s="604"/>
      <c r="FI19" s="604"/>
      <c r="FJ19" s="604"/>
      <c r="FK19" s="604"/>
      <c r="FL19" s="604"/>
      <c r="FM19" s="604"/>
      <c r="FN19" s="604"/>
      <c r="FO19" s="604"/>
      <c r="FP19" s="604"/>
      <c r="FQ19" s="604"/>
      <c r="FR19" s="604"/>
      <c r="FS19" s="604"/>
      <c r="FT19" s="604"/>
      <c r="FU19" s="604"/>
      <c r="FV19" s="604"/>
      <c r="FW19" s="604"/>
      <c r="FX19" s="604"/>
      <c r="FY19" s="604"/>
      <c r="FZ19" s="604"/>
      <c r="GA19" s="604"/>
      <c r="GB19" s="604"/>
      <c r="GC19" s="604"/>
      <c r="GD19" s="604"/>
      <c r="GE19" s="604"/>
      <c r="GF19" s="604"/>
      <c r="GG19" s="604"/>
      <c r="GH19" s="604"/>
      <c r="GI19" s="604"/>
      <c r="GJ19" s="604"/>
      <c r="GK19" s="604"/>
      <c r="GL19" s="604"/>
      <c r="GM19" s="604"/>
      <c r="GN19" s="604"/>
      <c r="GO19" s="604"/>
      <c r="GP19" s="604"/>
      <c r="GQ19" s="604"/>
      <c r="GR19" s="604"/>
      <c r="GS19" s="604"/>
      <c r="GT19" s="604"/>
      <c r="GU19" s="604"/>
      <c r="GV19" s="604"/>
      <c r="GW19" s="604"/>
      <c r="GX19" s="604"/>
      <c r="GY19" s="604"/>
      <c r="GZ19" s="604"/>
      <c r="HA19" s="604"/>
      <c r="HB19" s="604"/>
      <c r="HC19" s="604"/>
      <c r="HD19" s="604"/>
      <c r="HE19" s="604"/>
      <c r="HF19" s="604"/>
      <c r="HG19" s="604"/>
      <c r="HH19" s="604"/>
      <c r="HI19" s="604"/>
      <c r="HJ19" s="604"/>
      <c r="HK19" s="604"/>
      <c r="HL19" s="604"/>
      <c r="HM19" s="604"/>
      <c r="HN19" s="604"/>
      <c r="HO19" s="604"/>
      <c r="HP19" s="604"/>
      <c r="HQ19" s="604"/>
      <c r="HR19" s="604"/>
      <c r="HS19" s="604"/>
      <c r="HT19" s="604"/>
      <c r="HU19" s="604"/>
      <c r="HV19" s="604"/>
      <c r="HW19" s="604"/>
      <c r="HX19" s="604"/>
      <c r="HY19" s="604"/>
      <c r="HZ19" s="604"/>
      <c r="IA19" s="604"/>
      <c r="IB19" s="604"/>
      <c r="IC19" s="604"/>
      <c r="ID19" s="604"/>
      <c r="IE19" s="604"/>
      <c r="IF19" s="604"/>
      <c r="IG19" s="604"/>
      <c r="IH19" s="604"/>
      <c r="II19" s="604"/>
      <c r="IJ19" s="604"/>
      <c r="IK19" s="604"/>
      <c r="IL19" s="604"/>
      <c r="IM19" s="604"/>
      <c r="IN19" s="604"/>
      <c r="IO19" s="604"/>
      <c r="IP19" s="604"/>
      <c r="IQ19" s="604"/>
      <c r="IR19" s="604"/>
      <c r="IS19" s="604"/>
      <c r="IT19" s="604"/>
      <c r="IU19" s="604"/>
      <c r="IV19" s="604"/>
    </row>
    <row r="20" spans="1:256">
      <c r="A20" s="625"/>
      <c r="B20" s="626"/>
      <c r="C20" s="627"/>
      <c r="D20" s="628"/>
      <c r="E20" s="620"/>
      <c r="F20" s="621"/>
      <c r="G20" s="629"/>
      <c r="H20" s="620"/>
      <c r="I20" s="620"/>
      <c r="J20" s="621"/>
      <c r="K20" s="630"/>
      <c r="L20" s="620"/>
      <c r="M20" s="620"/>
      <c r="N20" s="620"/>
      <c r="O20" s="631"/>
      <c r="P20" s="631"/>
      <c r="Q20" s="631">
        <f>SUM(Q13:Q19)</f>
        <v>2.78505</v>
      </c>
      <c r="R20" s="632"/>
      <c r="S20" s="633"/>
      <c r="T20" s="604"/>
      <c r="U20" s="604"/>
      <c r="V20" s="604"/>
      <c r="W20" s="604"/>
      <c r="X20" s="604"/>
      <c r="Y20" s="604"/>
      <c r="Z20" s="604"/>
      <c r="AA20" s="604"/>
      <c r="AB20" s="604"/>
      <c r="AC20" s="604"/>
      <c r="AD20" s="604"/>
      <c r="AE20" s="604"/>
      <c r="AF20" s="604"/>
      <c r="AG20" s="604"/>
      <c r="AH20" s="604"/>
      <c r="AI20" s="604"/>
      <c r="AJ20" s="604"/>
      <c r="AK20" s="604"/>
      <c r="AL20" s="604"/>
      <c r="AM20" s="604"/>
      <c r="AN20" s="604"/>
      <c r="AO20" s="604"/>
      <c r="AP20" s="604"/>
      <c r="AQ20" s="604"/>
      <c r="AR20" s="604"/>
      <c r="AS20" s="604"/>
      <c r="AT20" s="604"/>
      <c r="AU20" s="604"/>
      <c r="AV20" s="604"/>
      <c r="AW20" s="604"/>
      <c r="AX20" s="604"/>
      <c r="AY20" s="604"/>
      <c r="AZ20" s="604"/>
      <c r="BA20" s="604"/>
      <c r="BB20" s="604"/>
      <c r="BC20" s="604"/>
      <c r="BD20" s="604"/>
      <c r="BE20" s="604"/>
      <c r="BF20" s="604"/>
      <c r="BG20" s="604"/>
      <c r="BH20" s="604"/>
      <c r="BI20" s="604"/>
      <c r="BJ20" s="604"/>
      <c r="BK20" s="604"/>
      <c r="BL20" s="604"/>
      <c r="BM20" s="604"/>
      <c r="BN20" s="604"/>
      <c r="BO20" s="604"/>
      <c r="BP20" s="604"/>
      <c r="BQ20" s="604"/>
      <c r="BR20" s="604"/>
      <c r="BS20" s="604"/>
      <c r="BT20" s="604"/>
      <c r="BU20" s="604"/>
      <c r="BV20" s="604"/>
      <c r="BW20" s="604"/>
      <c r="BX20" s="604"/>
      <c r="BY20" s="604"/>
      <c r="BZ20" s="604"/>
      <c r="CA20" s="604"/>
      <c r="CB20" s="604"/>
      <c r="CC20" s="604"/>
      <c r="CD20" s="604"/>
      <c r="CE20" s="604"/>
      <c r="CF20" s="604"/>
      <c r="CG20" s="604"/>
      <c r="CH20" s="604"/>
      <c r="CI20" s="604"/>
      <c r="CJ20" s="604"/>
      <c r="CK20" s="604"/>
      <c r="CL20" s="604"/>
      <c r="CM20" s="604"/>
      <c r="CN20" s="604"/>
      <c r="CO20" s="604"/>
      <c r="CP20" s="604"/>
      <c r="CQ20" s="604"/>
      <c r="CR20" s="604"/>
      <c r="CS20" s="604"/>
      <c r="CT20" s="604"/>
      <c r="CU20" s="604"/>
      <c r="CV20" s="604"/>
      <c r="CW20" s="604"/>
      <c r="CX20" s="604"/>
      <c r="CY20" s="604"/>
      <c r="CZ20" s="604"/>
      <c r="DA20" s="604"/>
      <c r="DB20" s="604"/>
      <c r="DC20" s="604"/>
      <c r="DD20" s="604"/>
      <c r="DE20" s="604"/>
      <c r="DF20" s="604"/>
      <c r="DG20" s="604"/>
      <c r="DH20" s="604"/>
      <c r="DI20" s="604"/>
      <c r="DJ20" s="604"/>
      <c r="DK20" s="604"/>
      <c r="DL20" s="604"/>
      <c r="DM20" s="604"/>
      <c r="DN20" s="604"/>
      <c r="DO20" s="604"/>
      <c r="DP20" s="604"/>
      <c r="DQ20" s="604"/>
      <c r="DR20" s="604"/>
      <c r="DS20" s="604"/>
      <c r="DT20" s="604"/>
      <c r="DU20" s="604"/>
      <c r="DV20" s="604"/>
      <c r="DW20" s="604"/>
      <c r="DX20" s="604"/>
      <c r="DY20" s="604"/>
      <c r="DZ20" s="604"/>
      <c r="EA20" s="604"/>
      <c r="EB20" s="604"/>
      <c r="EC20" s="604"/>
      <c r="ED20" s="604"/>
      <c r="EE20" s="604"/>
      <c r="EF20" s="604"/>
      <c r="EG20" s="604"/>
      <c r="EH20" s="604"/>
      <c r="EI20" s="604"/>
      <c r="EJ20" s="604"/>
      <c r="EK20" s="604"/>
      <c r="EL20" s="604"/>
      <c r="EM20" s="604"/>
      <c r="EN20" s="604"/>
      <c r="EO20" s="604"/>
      <c r="EP20" s="604"/>
      <c r="EQ20" s="604"/>
      <c r="ER20" s="604"/>
      <c r="ES20" s="604"/>
      <c r="ET20" s="604"/>
      <c r="EU20" s="604"/>
      <c r="EV20" s="604"/>
      <c r="EW20" s="604"/>
      <c r="EX20" s="604"/>
      <c r="EY20" s="604"/>
      <c r="EZ20" s="604"/>
      <c r="FA20" s="604"/>
      <c r="FB20" s="604"/>
      <c r="FC20" s="604"/>
      <c r="FD20" s="604"/>
      <c r="FE20" s="604"/>
      <c r="FF20" s="604"/>
      <c r="FG20" s="604"/>
      <c r="FH20" s="604"/>
      <c r="FI20" s="604"/>
      <c r="FJ20" s="604"/>
      <c r="FK20" s="604"/>
      <c r="FL20" s="604"/>
      <c r="FM20" s="604"/>
      <c r="FN20" s="604"/>
      <c r="FO20" s="604"/>
      <c r="FP20" s="604"/>
      <c r="FQ20" s="604"/>
      <c r="FR20" s="604"/>
      <c r="FS20" s="604"/>
      <c r="FT20" s="604"/>
      <c r="FU20" s="604"/>
      <c r="FV20" s="604"/>
      <c r="FW20" s="604"/>
      <c r="FX20" s="604"/>
      <c r="FY20" s="604"/>
      <c r="FZ20" s="604"/>
      <c r="GA20" s="604"/>
      <c r="GB20" s="604"/>
      <c r="GC20" s="604"/>
      <c r="GD20" s="604"/>
      <c r="GE20" s="604"/>
      <c r="GF20" s="604"/>
      <c r="GG20" s="604"/>
      <c r="GH20" s="604"/>
      <c r="GI20" s="604"/>
      <c r="GJ20" s="604"/>
      <c r="GK20" s="604"/>
      <c r="GL20" s="604"/>
      <c r="GM20" s="604"/>
      <c r="GN20" s="604"/>
      <c r="GO20" s="604"/>
      <c r="GP20" s="604"/>
      <c r="GQ20" s="604"/>
      <c r="GR20" s="604"/>
      <c r="GS20" s="604"/>
      <c r="GT20" s="604"/>
      <c r="GU20" s="604"/>
      <c r="GV20" s="604"/>
      <c r="GW20" s="604"/>
      <c r="GX20" s="604"/>
      <c r="GY20" s="604"/>
      <c r="GZ20" s="604"/>
      <c r="HA20" s="604"/>
      <c r="HB20" s="604"/>
      <c r="HC20" s="604"/>
      <c r="HD20" s="604"/>
      <c r="HE20" s="604"/>
      <c r="HF20" s="604"/>
      <c r="HG20" s="604"/>
      <c r="HH20" s="604"/>
      <c r="HI20" s="604"/>
      <c r="HJ20" s="604"/>
      <c r="HK20" s="604"/>
      <c r="HL20" s="604"/>
      <c r="HM20" s="604"/>
      <c r="HN20" s="604"/>
      <c r="HO20" s="604"/>
      <c r="HP20" s="604"/>
      <c r="HQ20" s="604"/>
      <c r="HR20" s="604"/>
      <c r="HS20" s="604"/>
      <c r="HT20" s="604"/>
      <c r="HU20" s="604"/>
      <c r="HV20" s="604"/>
      <c r="HW20" s="604"/>
      <c r="HX20" s="604"/>
      <c r="HY20" s="604"/>
      <c r="HZ20" s="604"/>
      <c r="IA20" s="604"/>
      <c r="IB20" s="604"/>
      <c r="IC20" s="604"/>
      <c r="ID20" s="604"/>
      <c r="IE20" s="604"/>
      <c r="IF20" s="604"/>
      <c r="IG20" s="604"/>
      <c r="IH20" s="604"/>
      <c r="II20" s="604"/>
      <c r="IJ20" s="604"/>
      <c r="IK20" s="604"/>
      <c r="IL20" s="604"/>
      <c r="IM20" s="604"/>
      <c r="IN20" s="604"/>
      <c r="IO20" s="604"/>
      <c r="IP20" s="604"/>
      <c r="IQ20" s="604"/>
      <c r="IR20" s="604"/>
      <c r="IS20" s="604"/>
      <c r="IT20" s="604"/>
      <c r="IU20" s="604"/>
      <c r="IV20" s="604"/>
    </row>
    <row r="21" spans="1:256">
      <c r="A21" s="634"/>
      <c r="B21" s="635"/>
      <c r="C21" s="636"/>
      <c r="D21" s="637"/>
      <c r="E21" s="638"/>
      <c r="F21" s="638"/>
      <c r="G21" s="638"/>
      <c r="H21" s="638"/>
      <c r="I21" s="638"/>
      <c r="J21" s="638"/>
      <c r="K21" s="638"/>
      <c r="L21" s="638"/>
      <c r="M21" s="638"/>
      <c r="N21" s="638"/>
      <c r="O21" s="638"/>
      <c r="P21" s="638"/>
      <c r="Q21" s="638"/>
      <c r="R21" s="604"/>
      <c r="S21" s="604"/>
      <c r="T21" s="633"/>
      <c r="U21" s="604"/>
      <c r="V21" s="604"/>
      <c r="W21" s="604"/>
      <c r="X21" s="604"/>
      <c r="Y21" s="604"/>
      <c r="Z21" s="604"/>
      <c r="AA21" s="604"/>
      <c r="AB21" s="604"/>
      <c r="AC21" s="604"/>
      <c r="AD21" s="604"/>
      <c r="AE21" s="604"/>
      <c r="AF21" s="604"/>
      <c r="AG21" s="604"/>
      <c r="AH21" s="604"/>
      <c r="AI21" s="604"/>
      <c r="AJ21" s="604"/>
      <c r="AK21" s="604"/>
      <c r="AL21" s="604"/>
      <c r="AM21" s="604"/>
      <c r="AN21" s="604"/>
      <c r="AO21" s="604"/>
      <c r="AP21" s="604"/>
      <c r="AQ21" s="604"/>
      <c r="AR21" s="604"/>
      <c r="AS21" s="604"/>
      <c r="AT21" s="604"/>
      <c r="AU21" s="604"/>
      <c r="AV21" s="604"/>
      <c r="AW21" s="604"/>
      <c r="AX21" s="604"/>
      <c r="AY21" s="604"/>
      <c r="AZ21" s="604"/>
      <c r="BA21" s="604"/>
      <c r="BB21" s="604"/>
      <c r="BC21" s="604"/>
      <c r="BD21" s="604"/>
      <c r="BE21" s="604"/>
      <c r="BF21" s="604"/>
      <c r="BG21" s="604"/>
      <c r="BH21" s="604"/>
      <c r="BI21" s="604"/>
      <c r="BJ21" s="604"/>
      <c r="BK21" s="604"/>
      <c r="BL21" s="604"/>
      <c r="BM21" s="604"/>
      <c r="BN21" s="604"/>
      <c r="BO21" s="604"/>
      <c r="BP21" s="604"/>
      <c r="BQ21" s="604"/>
      <c r="BR21" s="604"/>
      <c r="BS21" s="604"/>
      <c r="BT21" s="604"/>
      <c r="BU21" s="604"/>
      <c r="BV21" s="604"/>
      <c r="BW21" s="604"/>
      <c r="BX21" s="604"/>
      <c r="BY21" s="604"/>
      <c r="BZ21" s="604"/>
      <c r="CA21" s="604"/>
      <c r="CB21" s="604"/>
      <c r="CC21" s="604"/>
      <c r="CD21" s="604"/>
      <c r="CE21" s="604"/>
      <c r="CF21" s="604"/>
      <c r="CG21" s="604"/>
      <c r="CH21" s="604"/>
      <c r="CI21" s="604"/>
      <c r="CJ21" s="604"/>
      <c r="CK21" s="604"/>
      <c r="CL21" s="604"/>
      <c r="CM21" s="604"/>
      <c r="CN21" s="604"/>
      <c r="CO21" s="604"/>
      <c r="CP21" s="604"/>
      <c r="CQ21" s="604"/>
      <c r="CR21" s="604"/>
      <c r="CS21" s="604"/>
      <c r="CT21" s="604"/>
      <c r="CU21" s="604"/>
      <c r="CV21" s="604"/>
      <c r="CW21" s="604"/>
      <c r="CX21" s="604"/>
      <c r="CY21" s="604"/>
      <c r="CZ21" s="604"/>
      <c r="DA21" s="604"/>
      <c r="DB21" s="604"/>
      <c r="DC21" s="604"/>
      <c r="DD21" s="604"/>
      <c r="DE21" s="604"/>
      <c r="DF21" s="604"/>
      <c r="DG21" s="604"/>
      <c r="DH21" s="604"/>
      <c r="DI21" s="604"/>
      <c r="DJ21" s="604"/>
      <c r="DK21" s="604"/>
      <c r="DL21" s="604"/>
      <c r="DM21" s="604"/>
      <c r="DN21" s="604"/>
      <c r="DO21" s="604"/>
      <c r="DP21" s="604"/>
      <c r="DQ21" s="604"/>
      <c r="DR21" s="604"/>
      <c r="DS21" s="604"/>
      <c r="DT21" s="604"/>
      <c r="DU21" s="604"/>
      <c r="DV21" s="604"/>
      <c r="DW21" s="604"/>
      <c r="DX21" s="604"/>
      <c r="DY21" s="604"/>
      <c r="DZ21" s="604"/>
      <c r="EA21" s="604"/>
      <c r="EB21" s="604"/>
      <c r="EC21" s="604"/>
      <c r="ED21" s="604"/>
      <c r="EE21" s="604"/>
      <c r="EF21" s="604"/>
      <c r="EG21" s="604"/>
      <c r="EH21" s="604"/>
      <c r="EI21" s="604"/>
      <c r="EJ21" s="604"/>
      <c r="EK21" s="604"/>
      <c r="EL21" s="604"/>
      <c r="EM21" s="604"/>
      <c r="EN21" s="604"/>
      <c r="EO21" s="604"/>
      <c r="EP21" s="604"/>
      <c r="EQ21" s="604"/>
      <c r="ER21" s="604"/>
      <c r="ES21" s="604"/>
      <c r="ET21" s="604"/>
      <c r="EU21" s="604"/>
      <c r="EV21" s="604"/>
      <c r="EW21" s="604"/>
      <c r="EX21" s="604"/>
      <c r="EY21" s="604"/>
      <c r="EZ21" s="604"/>
      <c r="FA21" s="604"/>
      <c r="FB21" s="604"/>
      <c r="FC21" s="604"/>
      <c r="FD21" s="604"/>
      <c r="FE21" s="604"/>
      <c r="FF21" s="604"/>
      <c r="FG21" s="604"/>
      <c r="FH21" s="604"/>
      <c r="FI21" s="604"/>
      <c r="FJ21" s="604"/>
      <c r="FK21" s="604"/>
      <c r="FL21" s="604"/>
      <c r="FM21" s="604"/>
      <c r="FN21" s="604"/>
      <c r="FO21" s="604"/>
      <c r="FP21" s="604"/>
      <c r="FQ21" s="604"/>
      <c r="FR21" s="604"/>
      <c r="FS21" s="604"/>
      <c r="FT21" s="604"/>
      <c r="FU21" s="604"/>
      <c r="FV21" s="604"/>
      <c r="FW21" s="604"/>
      <c r="FX21" s="604"/>
      <c r="FY21" s="604"/>
      <c r="FZ21" s="604"/>
      <c r="GA21" s="604"/>
      <c r="GB21" s="604"/>
      <c r="GC21" s="604"/>
      <c r="GD21" s="604"/>
      <c r="GE21" s="604"/>
      <c r="GF21" s="604"/>
      <c r="GG21" s="604"/>
      <c r="GH21" s="604"/>
      <c r="GI21" s="604"/>
      <c r="GJ21" s="604"/>
      <c r="GK21" s="604"/>
      <c r="GL21" s="604"/>
      <c r="GM21" s="604"/>
      <c r="GN21" s="604"/>
      <c r="GO21" s="604"/>
      <c r="GP21" s="604"/>
      <c r="GQ21" s="604"/>
      <c r="GR21" s="604"/>
      <c r="GS21" s="604"/>
      <c r="GT21" s="604"/>
      <c r="GU21" s="604"/>
      <c r="GV21" s="604"/>
      <c r="GW21" s="604"/>
      <c r="GX21" s="604"/>
      <c r="GY21" s="604"/>
      <c r="GZ21" s="604"/>
      <c r="HA21" s="604"/>
      <c r="HB21" s="604"/>
      <c r="HC21" s="604"/>
      <c r="HD21" s="604"/>
      <c r="HE21" s="604"/>
      <c r="HF21" s="604"/>
      <c r="HG21" s="604"/>
      <c r="HH21" s="604"/>
      <c r="HI21" s="604"/>
      <c r="HJ21" s="604"/>
      <c r="HK21" s="604"/>
      <c r="HL21" s="604"/>
      <c r="HM21" s="604"/>
      <c r="HN21" s="604"/>
      <c r="HO21" s="604"/>
      <c r="HP21" s="604"/>
      <c r="HQ21" s="604"/>
      <c r="HR21" s="604"/>
      <c r="HS21" s="604"/>
      <c r="HT21" s="604"/>
      <c r="HU21" s="604"/>
      <c r="HV21" s="604"/>
      <c r="HW21" s="604"/>
      <c r="HX21" s="604"/>
      <c r="HY21" s="604"/>
      <c r="HZ21" s="604"/>
      <c r="IA21" s="604"/>
      <c r="IB21" s="604"/>
      <c r="IC21" s="604"/>
      <c r="ID21" s="604"/>
      <c r="IE21" s="604"/>
      <c r="IF21" s="604"/>
      <c r="IG21" s="604"/>
      <c r="IH21" s="604"/>
      <c r="II21" s="604"/>
      <c r="IJ21" s="604"/>
      <c r="IK21" s="604"/>
      <c r="IL21" s="604"/>
      <c r="IM21" s="604"/>
      <c r="IN21" s="604"/>
      <c r="IO21" s="604"/>
      <c r="IP21" s="604"/>
      <c r="IQ21" s="604"/>
      <c r="IR21" s="604"/>
      <c r="IS21" s="604"/>
      <c r="IT21" s="604"/>
      <c r="IU21" s="604"/>
      <c r="IV21" s="604"/>
    </row>
    <row r="22" spans="1:256" ht="21.6" thickBot="1">
      <c r="A22" s="639"/>
      <c r="B22" s="604"/>
      <c r="C22" s="604"/>
      <c r="D22" s="604" t="s">
        <v>520</v>
      </c>
      <c r="E22" s="604"/>
      <c r="F22" s="604"/>
      <c r="G22" s="604"/>
      <c r="H22" s="604"/>
      <c r="I22" s="640"/>
      <c r="J22" s="604"/>
      <c r="K22" s="604"/>
      <c r="L22" s="604"/>
      <c r="M22" s="604"/>
      <c r="N22" s="604"/>
      <c r="O22" s="604"/>
      <c r="P22" s="604"/>
      <c r="Q22" s="604"/>
      <c r="R22" s="604"/>
      <c r="S22" s="604"/>
      <c r="T22" s="604"/>
      <c r="U22" s="604"/>
      <c r="V22" s="604"/>
      <c r="W22" s="604"/>
      <c r="X22" s="604"/>
      <c r="Y22" s="604"/>
      <c r="Z22" s="604"/>
      <c r="AA22" s="604"/>
      <c r="AB22" s="604"/>
      <c r="AC22" s="604"/>
      <c r="AD22" s="604"/>
      <c r="AE22" s="604"/>
      <c r="AF22" s="604"/>
      <c r="AG22" s="604"/>
      <c r="AH22" s="604"/>
      <c r="AI22" s="604"/>
      <c r="AJ22" s="604"/>
      <c r="AK22" s="604"/>
      <c r="AL22" s="604"/>
      <c r="AM22" s="604"/>
      <c r="AN22" s="604"/>
      <c r="AO22" s="604"/>
      <c r="AP22" s="604"/>
      <c r="AQ22" s="604"/>
      <c r="AR22" s="604"/>
      <c r="AS22" s="604"/>
      <c r="AT22" s="604"/>
      <c r="AU22" s="604"/>
      <c r="AV22" s="604"/>
      <c r="AW22" s="604"/>
      <c r="AX22" s="604"/>
      <c r="AY22" s="604"/>
      <c r="AZ22" s="604"/>
      <c r="BA22" s="604"/>
      <c r="BB22" s="604"/>
      <c r="BC22" s="604"/>
      <c r="BD22" s="604"/>
      <c r="BE22" s="604"/>
      <c r="BF22" s="604"/>
      <c r="BG22" s="604"/>
      <c r="BH22" s="604"/>
      <c r="BI22" s="604"/>
      <c r="BJ22" s="604"/>
      <c r="BK22" s="604"/>
      <c r="BL22" s="604"/>
      <c r="BM22" s="604"/>
      <c r="BN22" s="604"/>
      <c r="BO22" s="604"/>
      <c r="BP22" s="604"/>
      <c r="BQ22" s="604"/>
      <c r="BR22" s="604"/>
      <c r="BS22" s="604"/>
      <c r="BT22" s="604"/>
      <c r="BU22" s="604"/>
      <c r="BV22" s="604"/>
      <c r="BW22" s="604"/>
      <c r="BX22" s="604"/>
      <c r="BY22" s="604"/>
      <c r="BZ22" s="604"/>
      <c r="CA22" s="604"/>
      <c r="CB22" s="604"/>
      <c r="CC22" s="604"/>
      <c r="CD22" s="604"/>
      <c r="CE22" s="604"/>
      <c r="CF22" s="604"/>
      <c r="CG22" s="604"/>
      <c r="CH22" s="604"/>
      <c r="CI22" s="604"/>
      <c r="CJ22" s="604"/>
      <c r="CK22" s="604"/>
      <c r="CL22" s="604"/>
      <c r="CM22" s="604"/>
      <c r="CN22" s="604"/>
      <c r="CO22" s="604"/>
      <c r="CP22" s="604"/>
      <c r="CQ22" s="604"/>
      <c r="CR22" s="604"/>
      <c r="CS22" s="604"/>
      <c r="CT22" s="604"/>
      <c r="CU22" s="604"/>
      <c r="CV22" s="604"/>
      <c r="CW22" s="604"/>
      <c r="CX22" s="604"/>
      <c r="CY22" s="604"/>
      <c r="CZ22" s="604"/>
      <c r="DA22" s="604"/>
      <c r="DB22" s="604"/>
      <c r="DC22" s="604"/>
      <c r="DD22" s="604"/>
      <c r="DE22" s="604"/>
      <c r="DF22" s="604"/>
      <c r="DG22" s="604"/>
      <c r="DH22" s="604"/>
      <c r="DI22" s="604"/>
      <c r="DJ22" s="604"/>
      <c r="DK22" s="604"/>
      <c r="DL22" s="604"/>
      <c r="DM22" s="604"/>
      <c r="DN22" s="604"/>
      <c r="DO22" s="604"/>
      <c r="DP22" s="604"/>
      <c r="DQ22" s="604"/>
      <c r="DR22" s="604"/>
      <c r="DS22" s="604"/>
      <c r="DT22" s="604"/>
      <c r="DU22" s="604"/>
      <c r="DV22" s="604"/>
      <c r="DW22" s="604"/>
      <c r="DX22" s="604"/>
      <c r="DY22" s="604"/>
      <c r="DZ22" s="604"/>
      <c r="EA22" s="604"/>
      <c r="EB22" s="604"/>
      <c r="EC22" s="604"/>
      <c r="ED22" s="604"/>
      <c r="EE22" s="604"/>
      <c r="EF22" s="604"/>
      <c r="EG22" s="604"/>
      <c r="EH22" s="604"/>
      <c r="EI22" s="604"/>
      <c r="EJ22" s="604"/>
      <c r="EK22" s="604"/>
      <c r="EL22" s="604"/>
      <c r="EM22" s="604"/>
      <c r="EN22" s="604"/>
      <c r="EO22" s="604"/>
      <c r="EP22" s="604"/>
      <c r="EQ22" s="604"/>
      <c r="ER22" s="604"/>
      <c r="ES22" s="604"/>
      <c r="ET22" s="604"/>
      <c r="EU22" s="604"/>
      <c r="EV22" s="604"/>
      <c r="EW22" s="604"/>
      <c r="EX22" s="604"/>
      <c r="EY22" s="604"/>
      <c r="EZ22" s="604"/>
      <c r="FA22" s="604"/>
      <c r="FB22" s="604"/>
      <c r="FC22" s="604"/>
      <c r="FD22" s="604"/>
      <c r="FE22" s="604"/>
      <c r="FF22" s="604"/>
      <c r="FG22" s="604"/>
      <c r="FH22" s="604"/>
      <c r="FI22" s="604"/>
      <c r="FJ22" s="604"/>
      <c r="FK22" s="604"/>
      <c r="FL22" s="604"/>
      <c r="FM22" s="604"/>
      <c r="FN22" s="604"/>
      <c r="FO22" s="604"/>
      <c r="FP22" s="604"/>
      <c r="FQ22" s="604"/>
      <c r="FR22" s="604"/>
      <c r="FS22" s="604"/>
      <c r="FT22" s="604"/>
      <c r="FU22" s="604"/>
      <c r="FV22" s="604"/>
      <c r="FW22" s="604"/>
      <c r="FX22" s="604"/>
      <c r="FY22" s="604"/>
      <c r="FZ22" s="604"/>
      <c r="GA22" s="604"/>
      <c r="GB22" s="604"/>
      <c r="GC22" s="604"/>
      <c r="GD22" s="604"/>
      <c r="GE22" s="604"/>
      <c r="GF22" s="604"/>
      <c r="GG22" s="604"/>
      <c r="GH22" s="604"/>
      <c r="GI22" s="604"/>
      <c r="GJ22" s="604"/>
      <c r="GK22" s="604"/>
      <c r="GL22" s="604"/>
      <c r="GM22" s="604"/>
      <c r="GN22" s="604"/>
      <c r="GO22" s="604"/>
      <c r="GP22" s="604"/>
      <c r="GQ22" s="604"/>
      <c r="GR22" s="604"/>
      <c r="GS22" s="604"/>
      <c r="GT22" s="604"/>
      <c r="GU22" s="604"/>
      <c r="GV22" s="604"/>
      <c r="GW22" s="604"/>
      <c r="GX22" s="604"/>
      <c r="GY22" s="604"/>
      <c r="GZ22" s="604"/>
      <c r="HA22" s="604"/>
      <c r="HB22" s="604"/>
      <c r="HC22" s="604"/>
      <c r="HD22" s="604"/>
      <c r="HE22" s="604"/>
      <c r="HF22" s="604"/>
      <c r="HG22" s="604"/>
      <c r="HH22" s="604"/>
      <c r="HI22" s="604"/>
      <c r="HJ22" s="604"/>
      <c r="HK22" s="604"/>
      <c r="HL22" s="604"/>
      <c r="HM22" s="604"/>
      <c r="HN22" s="604"/>
      <c r="HO22" s="604"/>
      <c r="HP22" s="604"/>
      <c r="HQ22" s="604"/>
      <c r="HR22" s="604"/>
      <c r="HS22" s="604"/>
      <c r="HT22" s="604"/>
      <c r="HU22" s="604"/>
      <c r="HV22" s="604"/>
      <c r="HW22" s="604"/>
      <c r="HX22" s="604"/>
      <c r="HY22" s="604"/>
      <c r="HZ22" s="604"/>
      <c r="IA22" s="604"/>
      <c r="IB22" s="604"/>
      <c r="IC22" s="604"/>
      <c r="ID22" s="604"/>
      <c r="IE22" s="604"/>
      <c r="IF22" s="604"/>
      <c r="IG22" s="604"/>
      <c r="IH22" s="604"/>
      <c r="II22" s="604"/>
      <c r="IJ22" s="604"/>
      <c r="IK22" s="604"/>
      <c r="IL22" s="604"/>
      <c r="IM22" s="604"/>
      <c r="IN22" s="604"/>
      <c r="IO22" s="604"/>
      <c r="IP22" s="604"/>
      <c r="IQ22" s="604"/>
      <c r="IR22" s="604"/>
      <c r="IS22" s="604"/>
      <c r="IT22" s="604"/>
      <c r="IU22" s="604"/>
      <c r="IV22" s="604"/>
    </row>
    <row r="23" spans="1:256" ht="21.6" thickBot="1">
      <c r="A23" s="641" t="s">
        <v>521</v>
      </c>
      <c r="B23" s="826" t="s">
        <v>522</v>
      </c>
      <c r="C23" s="826"/>
      <c r="D23" s="642">
        <f>Q20</f>
        <v>2.78505</v>
      </c>
      <c r="E23" s="604"/>
      <c r="F23" s="643" t="s">
        <v>523</v>
      </c>
      <c r="G23" s="644" t="s">
        <v>524</v>
      </c>
      <c r="H23" s="645"/>
      <c r="I23" s="646"/>
      <c r="J23" s="646"/>
      <c r="K23" s="646"/>
      <c r="L23" s="646"/>
      <c r="M23" s="646"/>
      <c r="N23" s="646"/>
      <c r="O23" s="646"/>
      <c r="P23" s="646"/>
      <c r="Q23" s="646"/>
      <c r="R23" s="604"/>
      <c r="S23" s="604"/>
      <c r="T23" s="604"/>
      <c r="U23" s="604"/>
      <c r="V23" s="604"/>
      <c r="W23" s="604"/>
      <c r="X23" s="604"/>
      <c r="Y23" s="604"/>
      <c r="Z23" s="604"/>
      <c r="AA23" s="604"/>
      <c r="AB23" s="604"/>
      <c r="AC23" s="604"/>
      <c r="AD23" s="604"/>
      <c r="AE23" s="604"/>
      <c r="AF23" s="604"/>
      <c r="AG23" s="604"/>
      <c r="AH23" s="604"/>
      <c r="AI23" s="604"/>
      <c r="AJ23" s="604"/>
      <c r="AK23" s="604"/>
      <c r="AL23" s="604"/>
      <c r="AM23" s="604"/>
      <c r="AN23" s="604"/>
      <c r="AO23" s="604"/>
      <c r="AP23" s="604"/>
      <c r="AQ23" s="604"/>
      <c r="AR23" s="604"/>
      <c r="AS23" s="604"/>
      <c r="AT23" s="604"/>
      <c r="AU23" s="604"/>
      <c r="AV23" s="604"/>
      <c r="AW23" s="604"/>
      <c r="AX23" s="604"/>
      <c r="AY23" s="604"/>
      <c r="AZ23" s="604"/>
      <c r="BA23" s="604"/>
      <c r="BB23" s="604"/>
      <c r="BC23" s="604"/>
      <c r="BD23" s="604"/>
      <c r="BE23" s="604"/>
      <c r="BF23" s="604"/>
      <c r="BG23" s="604"/>
      <c r="BH23" s="604"/>
      <c r="BI23" s="604"/>
      <c r="BJ23" s="604"/>
      <c r="BK23" s="604"/>
      <c r="BL23" s="604"/>
      <c r="BM23" s="604"/>
      <c r="BN23" s="604"/>
      <c r="BO23" s="604"/>
      <c r="BP23" s="604"/>
      <c r="BQ23" s="604"/>
      <c r="BR23" s="604"/>
      <c r="BS23" s="604"/>
      <c r="BT23" s="604"/>
      <c r="BU23" s="604"/>
      <c r="BV23" s="604"/>
      <c r="BW23" s="604"/>
      <c r="BX23" s="604"/>
      <c r="BY23" s="604"/>
      <c r="BZ23" s="604"/>
      <c r="CA23" s="604"/>
      <c r="CB23" s="604"/>
      <c r="CC23" s="604"/>
      <c r="CD23" s="604"/>
      <c r="CE23" s="604"/>
      <c r="CF23" s="604"/>
      <c r="CG23" s="604"/>
      <c r="CH23" s="604"/>
      <c r="CI23" s="604"/>
      <c r="CJ23" s="604"/>
      <c r="CK23" s="604"/>
      <c r="CL23" s="604"/>
      <c r="CM23" s="604"/>
      <c r="CN23" s="604"/>
      <c r="CO23" s="604"/>
      <c r="CP23" s="604"/>
      <c r="CQ23" s="604"/>
      <c r="CR23" s="604"/>
      <c r="CS23" s="604"/>
      <c r="CT23" s="604"/>
      <c r="CU23" s="604"/>
      <c r="CV23" s="604"/>
      <c r="CW23" s="604"/>
      <c r="CX23" s="604"/>
      <c r="CY23" s="604"/>
      <c r="CZ23" s="604"/>
      <c r="DA23" s="604"/>
      <c r="DB23" s="604"/>
      <c r="DC23" s="604"/>
      <c r="DD23" s="604"/>
      <c r="DE23" s="604"/>
      <c r="DF23" s="604"/>
      <c r="DG23" s="604"/>
      <c r="DH23" s="604"/>
      <c r="DI23" s="604"/>
      <c r="DJ23" s="604"/>
      <c r="DK23" s="604"/>
      <c r="DL23" s="604"/>
      <c r="DM23" s="604"/>
      <c r="DN23" s="604"/>
      <c r="DO23" s="604"/>
      <c r="DP23" s="604"/>
      <c r="DQ23" s="604"/>
      <c r="DR23" s="604"/>
      <c r="DS23" s="604"/>
      <c r="DT23" s="604"/>
      <c r="DU23" s="604"/>
      <c r="DV23" s="604"/>
      <c r="DW23" s="604"/>
      <c r="DX23" s="604"/>
      <c r="DY23" s="604"/>
      <c r="DZ23" s="604"/>
      <c r="EA23" s="604"/>
      <c r="EB23" s="604"/>
      <c r="EC23" s="604"/>
      <c r="ED23" s="604"/>
      <c r="EE23" s="604"/>
      <c r="EF23" s="604"/>
      <c r="EG23" s="604"/>
      <c r="EH23" s="604"/>
      <c r="EI23" s="604"/>
      <c r="EJ23" s="604"/>
      <c r="EK23" s="604"/>
      <c r="EL23" s="604"/>
      <c r="EM23" s="604"/>
      <c r="EN23" s="604"/>
      <c r="EO23" s="604"/>
      <c r="EP23" s="604"/>
      <c r="EQ23" s="604"/>
      <c r="ER23" s="604"/>
      <c r="ES23" s="604"/>
      <c r="ET23" s="604"/>
      <c r="EU23" s="604"/>
      <c r="EV23" s="604"/>
      <c r="EW23" s="604"/>
      <c r="EX23" s="604"/>
      <c r="EY23" s="604"/>
      <c r="EZ23" s="604"/>
      <c r="FA23" s="604"/>
      <c r="FB23" s="604"/>
      <c r="FC23" s="604"/>
      <c r="FD23" s="604"/>
      <c r="FE23" s="604"/>
      <c r="FF23" s="604"/>
      <c r="FG23" s="604"/>
      <c r="FH23" s="604"/>
      <c r="FI23" s="604"/>
      <c r="FJ23" s="604"/>
      <c r="FK23" s="604"/>
      <c r="FL23" s="604"/>
      <c r="FM23" s="604"/>
      <c r="FN23" s="604"/>
      <c r="FO23" s="604"/>
      <c r="FP23" s="604"/>
      <c r="FQ23" s="604"/>
      <c r="FR23" s="604"/>
      <c r="FS23" s="604"/>
      <c r="FT23" s="604"/>
      <c r="FU23" s="604"/>
      <c r="FV23" s="604"/>
      <c r="FW23" s="604"/>
      <c r="FX23" s="604"/>
      <c r="FY23" s="604"/>
      <c r="FZ23" s="604"/>
      <c r="GA23" s="604"/>
      <c r="GB23" s="604"/>
      <c r="GC23" s="604"/>
      <c r="GD23" s="604"/>
      <c r="GE23" s="604"/>
      <c r="GF23" s="604"/>
      <c r="GG23" s="604"/>
      <c r="GH23" s="604"/>
      <c r="GI23" s="604"/>
      <c r="GJ23" s="604"/>
      <c r="GK23" s="604"/>
      <c r="GL23" s="604"/>
      <c r="GM23" s="604"/>
      <c r="GN23" s="604"/>
      <c r="GO23" s="604"/>
      <c r="GP23" s="604"/>
      <c r="GQ23" s="604"/>
      <c r="GR23" s="604"/>
      <c r="GS23" s="604"/>
      <c r="GT23" s="604"/>
      <c r="GU23" s="604"/>
      <c r="GV23" s="604"/>
      <c r="GW23" s="604"/>
      <c r="GX23" s="604"/>
      <c r="GY23" s="604"/>
      <c r="GZ23" s="604"/>
      <c r="HA23" s="604"/>
      <c r="HB23" s="604"/>
      <c r="HC23" s="604"/>
      <c r="HD23" s="604"/>
      <c r="HE23" s="604"/>
      <c r="HF23" s="604"/>
      <c r="HG23" s="604"/>
      <c r="HH23" s="604"/>
      <c r="HI23" s="604"/>
      <c r="HJ23" s="604"/>
      <c r="HK23" s="604"/>
      <c r="HL23" s="604"/>
      <c r="HM23" s="604"/>
      <c r="HN23" s="604"/>
      <c r="HO23" s="604"/>
      <c r="HP23" s="604"/>
      <c r="HQ23" s="604"/>
      <c r="HR23" s="604"/>
      <c r="HS23" s="604"/>
      <c r="HT23" s="604"/>
      <c r="HU23" s="604"/>
      <c r="HV23" s="604"/>
      <c r="HW23" s="604"/>
      <c r="HX23" s="604"/>
      <c r="HY23" s="604"/>
      <c r="HZ23" s="604"/>
      <c r="IA23" s="604"/>
      <c r="IB23" s="604"/>
      <c r="IC23" s="604"/>
      <c r="ID23" s="604"/>
      <c r="IE23" s="604"/>
      <c r="IF23" s="604"/>
      <c r="IG23" s="604"/>
      <c r="IH23" s="604"/>
      <c r="II23" s="604"/>
      <c r="IJ23" s="604"/>
      <c r="IK23" s="604"/>
      <c r="IL23" s="604"/>
      <c r="IM23" s="604"/>
      <c r="IN23" s="604"/>
      <c r="IO23" s="604"/>
      <c r="IP23" s="604"/>
      <c r="IQ23" s="604"/>
      <c r="IR23" s="604"/>
      <c r="IS23" s="604"/>
      <c r="IT23" s="604"/>
      <c r="IU23" s="604"/>
      <c r="IV23" s="604"/>
    </row>
    <row r="24" spans="1:256" ht="40.799999999999997">
      <c r="A24" s="647" t="s">
        <v>525</v>
      </c>
      <c r="B24" s="827" t="s">
        <v>526</v>
      </c>
      <c r="C24" s="827"/>
      <c r="D24" s="648"/>
      <c r="E24" s="648"/>
      <c r="F24" s="648"/>
      <c r="G24" s="648"/>
      <c r="H24" s="648"/>
      <c r="I24" s="648"/>
      <c r="J24" s="648"/>
      <c r="K24" s="648"/>
      <c r="L24" s="648"/>
      <c r="M24" s="648"/>
      <c r="N24" s="648"/>
      <c r="O24" s="648" t="s">
        <v>0</v>
      </c>
      <c r="P24" s="648"/>
      <c r="Q24" s="648"/>
      <c r="R24" s="604"/>
      <c r="S24" s="604"/>
      <c r="T24" s="604"/>
      <c r="U24" s="604"/>
      <c r="V24" s="604"/>
      <c r="W24" s="604"/>
      <c r="X24" s="604"/>
      <c r="Y24" s="604"/>
      <c r="Z24" s="604"/>
      <c r="AA24" s="604"/>
      <c r="AB24" s="604"/>
      <c r="AC24" s="604"/>
      <c r="AD24" s="604"/>
      <c r="AE24" s="604"/>
      <c r="AF24" s="604"/>
      <c r="AG24" s="604"/>
      <c r="AH24" s="604"/>
      <c r="AI24" s="604"/>
      <c r="AJ24" s="604"/>
      <c r="AK24" s="604"/>
      <c r="AL24" s="604"/>
      <c r="AM24" s="604"/>
      <c r="AN24" s="604"/>
      <c r="AO24" s="604"/>
      <c r="AP24" s="604"/>
      <c r="AQ24" s="604"/>
      <c r="AR24" s="604"/>
      <c r="AS24" s="604"/>
      <c r="AT24" s="604"/>
      <c r="AU24" s="604"/>
      <c r="AV24" s="604"/>
      <c r="AW24" s="604"/>
      <c r="AX24" s="604"/>
      <c r="AY24" s="604"/>
      <c r="AZ24" s="604"/>
      <c r="BA24" s="604"/>
      <c r="BB24" s="604"/>
      <c r="BC24" s="604"/>
      <c r="BD24" s="604"/>
      <c r="BE24" s="604"/>
      <c r="BF24" s="604"/>
      <c r="BG24" s="604"/>
      <c r="BH24" s="604"/>
      <c r="BI24" s="604"/>
      <c r="BJ24" s="604"/>
      <c r="BK24" s="604"/>
      <c r="BL24" s="604"/>
      <c r="BM24" s="604"/>
      <c r="BN24" s="604"/>
      <c r="BO24" s="604"/>
      <c r="BP24" s="604"/>
      <c r="BQ24" s="604"/>
      <c r="BR24" s="604"/>
      <c r="BS24" s="604"/>
      <c r="BT24" s="604"/>
      <c r="BU24" s="604"/>
      <c r="BV24" s="604"/>
      <c r="BW24" s="604"/>
      <c r="BX24" s="604"/>
      <c r="BY24" s="604"/>
      <c r="BZ24" s="604"/>
      <c r="CA24" s="604"/>
      <c r="CB24" s="604"/>
      <c r="CC24" s="604"/>
      <c r="CD24" s="604"/>
      <c r="CE24" s="604"/>
      <c r="CF24" s="604"/>
      <c r="CG24" s="604"/>
      <c r="CH24" s="604"/>
      <c r="CI24" s="604"/>
      <c r="CJ24" s="604"/>
      <c r="CK24" s="604"/>
      <c r="CL24" s="604"/>
      <c r="CM24" s="604"/>
      <c r="CN24" s="604"/>
      <c r="CO24" s="604"/>
      <c r="CP24" s="604"/>
      <c r="CQ24" s="604"/>
      <c r="CR24" s="604"/>
      <c r="CS24" s="604"/>
      <c r="CT24" s="604"/>
      <c r="CU24" s="604"/>
      <c r="CV24" s="604"/>
      <c r="CW24" s="604"/>
      <c r="CX24" s="604"/>
      <c r="CY24" s="604"/>
      <c r="CZ24" s="604"/>
      <c r="DA24" s="604"/>
      <c r="DB24" s="604"/>
      <c r="DC24" s="604"/>
      <c r="DD24" s="604"/>
      <c r="DE24" s="604"/>
      <c r="DF24" s="604"/>
      <c r="DG24" s="604"/>
      <c r="DH24" s="604"/>
      <c r="DI24" s="604"/>
      <c r="DJ24" s="604"/>
      <c r="DK24" s="604"/>
      <c r="DL24" s="604"/>
      <c r="DM24" s="604"/>
      <c r="DN24" s="604"/>
      <c r="DO24" s="604"/>
      <c r="DP24" s="604"/>
      <c r="DQ24" s="604"/>
      <c r="DR24" s="604"/>
      <c r="DS24" s="604"/>
      <c r="DT24" s="604"/>
      <c r="DU24" s="604"/>
      <c r="DV24" s="604"/>
      <c r="DW24" s="604"/>
      <c r="DX24" s="604"/>
      <c r="DY24" s="604"/>
      <c r="DZ24" s="604"/>
      <c r="EA24" s="604"/>
      <c r="EB24" s="604"/>
      <c r="EC24" s="604"/>
      <c r="ED24" s="604"/>
      <c r="EE24" s="604"/>
      <c r="EF24" s="604"/>
      <c r="EG24" s="604"/>
      <c r="EH24" s="604"/>
      <c r="EI24" s="604"/>
      <c r="EJ24" s="604"/>
      <c r="EK24" s="604"/>
      <c r="EL24" s="604"/>
      <c r="EM24" s="604"/>
      <c r="EN24" s="604"/>
      <c r="EO24" s="604"/>
      <c r="EP24" s="604"/>
      <c r="EQ24" s="604"/>
      <c r="ER24" s="604"/>
      <c r="ES24" s="604"/>
      <c r="ET24" s="604"/>
      <c r="EU24" s="604"/>
      <c r="EV24" s="604"/>
      <c r="EW24" s="604"/>
      <c r="EX24" s="604"/>
      <c r="EY24" s="604"/>
      <c r="EZ24" s="604"/>
      <c r="FA24" s="604"/>
      <c r="FB24" s="604"/>
      <c r="FC24" s="604"/>
      <c r="FD24" s="604"/>
      <c r="FE24" s="604"/>
      <c r="FF24" s="604"/>
      <c r="FG24" s="604"/>
      <c r="FH24" s="604"/>
      <c r="FI24" s="604"/>
      <c r="FJ24" s="604"/>
      <c r="FK24" s="604"/>
      <c r="FL24" s="604"/>
      <c r="FM24" s="604"/>
      <c r="FN24" s="604"/>
      <c r="FO24" s="604"/>
      <c r="FP24" s="604"/>
      <c r="FQ24" s="604"/>
      <c r="FR24" s="604"/>
      <c r="FS24" s="604"/>
      <c r="FT24" s="604"/>
      <c r="FU24" s="604"/>
      <c r="FV24" s="604"/>
      <c r="FW24" s="604"/>
      <c r="FX24" s="604"/>
      <c r="FY24" s="604"/>
      <c r="FZ24" s="604"/>
      <c r="GA24" s="604"/>
      <c r="GB24" s="604"/>
      <c r="GC24" s="604"/>
      <c r="GD24" s="604"/>
      <c r="GE24" s="604"/>
      <c r="GF24" s="604"/>
      <c r="GG24" s="604"/>
      <c r="GH24" s="604"/>
      <c r="GI24" s="604"/>
      <c r="GJ24" s="604"/>
      <c r="GK24" s="604"/>
      <c r="GL24" s="604"/>
      <c r="GM24" s="604"/>
      <c r="GN24" s="604"/>
      <c r="GO24" s="604"/>
      <c r="GP24" s="604"/>
      <c r="GQ24" s="604"/>
      <c r="GR24" s="604"/>
      <c r="GS24" s="604"/>
      <c r="GT24" s="604"/>
      <c r="GU24" s="604"/>
      <c r="GV24" s="604"/>
      <c r="GW24" s="604"/>
      <c r="GX24" s="604"/>
      <c r="GY24" s="604"/>
      <c r="GZ24" s="604"/>
      <c r="HA24" s="604"/>
      <c r="HB24" s="604"/>
      <c r="HC24" s="604"/>
      <c r="HD24" s="604"/>
      <c r="HE24" s="604"/>
      <c r="HF24" s="604"/>
      <c r="HG24" s="604"/>
      <c r="HH24" s="604"/>
      <c r="HI24" s="604"/>
      <c r="HJ24" s="604"/>
      <c r="HK24" s="604"/>
      <c r="HL24" s="604"/>
      <c r="HM24" s="604"/>
      <c r="HN24" s="604"/>
      <c r="HO24" s="604"/>
      <c r="HP24" s="604"/>
      <c r="HQ24" s="604"/>
      <c r="HR24" s="604"/>
      <c r="HS24" s="604"/>
      <c r="HT24" s="604"/>
      <c r="HU24" s="604"/>
      <c r="HV24" s="604"/>
      <c r="HW24" s="604"/>
      <c r="HX24" s="604"/>
      <c r="HY24" s="604"/>
      <c r="HZ24" s="604"/>
      <c r="IA24" s="604"/>
      <c r="IB24" s="604"/>
      <c r="IC24" s="604"/>
      <c r="ID24" s="604"/>
      <c r="IE24" s="604"/>
      <c r="IF24" s="604"/>
      <c r="IG24" s="604"/>
      <c r="IH24" s="604"/>
      <c r="II24" s="604"/>
      <c r="IJ24" s="604"/>
      <c r="IK24" s="604"/>
      <c r="IL24" s="604"/>
      <c r="IM24" s="604"/>
      <c r="IN24" s="604"/>
      <c r="IO24" s="604"/>
      <c r="IP24" s="604"/>
      <c r="IQ24" s="604"/>
      <c r="IR24" s="604"/>
      <c r="IS24" s="604"/>
      <c r="IT24" s="604"/>
      <c r="IU24" s="604"/>
      <c r="IV24" s="604"/>
    </row>
    <row r="25" spans="1:256">
      <c r="A25" s="649"/>
      <c r="B25" s="650" t="s">
        <v>527</v>
      </c>
      <c r="C25" s="651"/>
      <c r="D25" s="651"/>
      <c r="E25" s="651"/>
      <c r="F25" s="651"/>
      <c r="G25" s="649"/>
      <c r="H25" s="649"/>
      <c r="I25" s="649"/>
      <c r="J25" s="649"/>
      <c r="K25" s="649"/>
      <c r="L25" s="649"/>
      <c r="M25" s="649"/>
      <c r="N25" s="649"/>
      <c r="O25" s="649"/>
      <c r="P25" s="649"/>
      <c r="Q25" s="649"/>
    </row>
    <row r="26" spans="1:256" ht="42" customHeight="1">
      <c r="A26" s="649"/>
      <c r="B26" s="828" t="s">
        <v>580</v>
      </c>
      <c r="C26" s="828"/>
      <c r="D26" s="828"/>
      <c r="E26" s="828"/>
      <c r="F26" s="828"/>
      <c r="G26" s="828"/>
      <c r="H26" s="828"/>
      <c r="I26" s="828"/>
      <c r="J26" s="828"/>
      <c r="K26" s="828"/>
      <c r="L26" s="828"/>
      <c r="M26" s="828"/>
      <c r="N26" s="828"/>
      <c r="O26" s="828"/>
      <c r="P26" s="828"/>
      <c r="Q26" s="828"/>
    </row>
    <row r="27" spans="1:256" ht="42" customHeight="1">
      <c r="A27" s="649"/>
      <c r="B27" s="828" t="s">
        <v>581</v>
      </c>
      <c r="C27" s="828"/>
      <c r="D27" s="828"/>
      <c r="E27" s="828"/>
      <c r="F27" s="828"/>
      <c r="G27" s="828"/>
      <c r="H27" s="828"/>
      <c r="I27" s="828"/>
      <c r="J27" s="828"/>
      <c r="K27" s="828"/>
      <c r="L27" s="828"/>
      <c r="M27" s="828"/>
      <c r="N27" s="828"/>
      <c r="O27" s="828"/>
      <c r="P27" s="828"/>
      <c r="Q27" s="652"/>
    </row>
    <row r="28" spans="1:256" ht="21.6" thickBot="1">
      <c r="A28" s="653" t="s">
        <v>528</v>
      </c>
      <c r="B28" s="654" t="s">
        <v>529</v>
      </c>
      <c r="D28" s="655"/>
      <c r="E28" s="655"/>
      <c r="F28" s="655"/>
      <c r="G28" s="655"/>
      <c r="H28" s="655"/>
      <c r="I28" s="656"/>
      <c r="J28" s="656"/>
      <c r="K28" s="656"/>
      <c r="L28" s="656"/>
      <c r="M28" s="656"/>
      <c r="N28" s="656"/>
    </row>
    <row r="29" spans="1:256" ht="82.2" thickBot="1">
      <c r="A29" s="829" t="s">
        <v>247</v>
      </c>
      <c r="B29" s="829" t="s">
        <v>530</v>
      </c>
      <c r="C29" s="831" t="s">
        <v>531</v>
      </c>
      <c r="D29" s="832"/>
      <c r="E29" s="833"/>
      <c r="F29" s="657" t="s">
        <v>532</v>
      </c>
      <c r="G29" s="829" t="s">
        <v>5</v>
      </c>
      <c r="H29" s="834" t="s">
        <v>214</v>
      </c>
      <c r="I29" s="835"/>
      <c r="J29" s="604"/>
      <c r="K29" s="604"/>
      <c r="L29" s="604"/>
      <c r="M29" s="604"/>
      <c r="N29" s="604"/>
      <c r="O29" s="604"/>
      <c r="P29" s="604"/>
      <c r="Q29" s="604"/>
      <c r="R29" s="604"/>
      <c r="S29" s="604"/>
      <c r="T29" s="604"/>
      <c r="U29" s="604"/>
      <c r="V29" s="604"/>
      <c r="W29" s="604"/>
      <c r="X29" s="604"/>
      <c r="Y29" s="604"/>
      <c r="Z29" s="604"/>
      <c r="AA29" s="604"/>
      <c r="AB29" s="604"/>
      <c r="AC29" s="604"/>
      <c r="AD29" s="604"/>
      <c r="AE29" s="604"/>
      <c r="AF29" s="604"/>
      <c r="AG29" s="604"/>
      <c r="AH29" s="604"/>
      <c r="AI29" s="604"/>
      <c r="AJ29" s="604"/>
      <c r="AK29" s="604"/>
      <c r="AL29" s="604"/>
      <c r="AM29" s="604"/>
      <c r="AN29" s="604"/>
      <c r="AO29" s="604"/>
      <c r="AP29" s="604"/>
      <c r="AQ29" s="604"/>
      <c r="AR29" s="604"/>
      <c r="AS29" s="604"/>
      <c r="AT29" s="604"/>
      <c r="AU29" s="604"/>
      <c r="AV29" s="604"/>
      <c r="AW29" s="604"/>
      <c r="AX29" s="604"/>
      <c r="AY29" s="604"/>
      <c r="AZ29" s="604"/>
      <c r="BA29" s="604"/>
      <c r="BB29" s="604"/>
      <c r="BC29" s="604"/>
      <c r="BD29" s="604"/>
      <c r="BE29" s="604"/>
      <c r="BF29" s="604"/>
      <c r="BG29" s="604"/>
      <c r="BH29" s="604"/>
      <c r="BI29" s="604"/>
      <c r="BJ29" s="604"/>
      <c r="BK29" s="604"/>
      <c r="BL29" s="604"/>
      <c r="BM29" s="604"/>
      <c r="BN29" s="604"/>
      <c r="BO29" s="604"/>
      <c r="BP29" s="604"/>
      <c r="BQ29" s="604"/>
      <c r="BR29" s="604"/>
      <c r="BS29" s="604"/>
      <c r="BT29" s="604"/>
      <c r="BU29" s="604"/>
      <c r="BV29" s="604"/>
      <c r="BW29" s="604"/>
      <c r="BX29" s="604"/>
      <c r="BY29" s="604"/>
      <c r="BZ29" s="604"/>
      <c r="CA29" s="604"/>
      <c r="CB29" s="604"/>
      <c r="CC29" s="604"/>
      <c r="CD29" s="604"/>
      <c r="CE29" s="604"/>
      <c r="CF29" s="604"/>
      <c r="CG29" s="604"/>
      <c r="CH29" s="604"/>
      <c r="CI29" s="604"/>
      <c r="CJ29" s="604"/>
      <c r="CK29" s="604"/>
      <c r="CL29" s="604"/>
      <c r="CM29" s="604"/>
      <c r="CN29" s="604"/>
      <c r="CO29" s="604"/>
      <c r="CP29" s="604"/>
      <c r="CQ29" s="604"/>
      <c r="CR29" s="604"/>
      <c r="CS29" s="604"/>
      <c r="CT29" s="604"/>
      <c r="CU29" s="604"/>
      <c r="CV29" s="604"/>
      <c r="CW29" s="604"/>
      <c r="CX29" s="604"/>
      <c r="CY29" s="604"/>
      <c r="CZ29" s="604"/>
      <c r="DA29" s="604"/>
      <c r="DB29" s="604"/>
      <c r="DC29" s="604"/>
      <c r="DD29" s="604"/>
      <c r="DE29" s="604"/>
      <c r="DF29" s="604"/>
      <c r="DG29" s="604"/>
      <c r="DH29" s="604"/>
      <c r="DI29" s="604"/>
      <c r="DJ29" s="604"/>
      <c r="DK29" s="604"/>
      <c r="DL29" s="604"/>
      <c r="DM29" s="604"/>
      <c r="DN29" s="604"/>
      <c r="DO29" s="604"/>
      <c r="DP29" s="604"/>
      <c r="DQ29" s="604"/>
      <c r="DR29" s="604"/>
      <c r="DS29" s="604"/>
      <c r="DT29" s="604"/>
      <c r="DU29" s="604"/>
      <c r="DV29" s="604"/>
      <c r="DW29" s="604"/>
      <c r="DX29" s="604"/>
      <c r="DY29" s="604"/>
      <c r="DZ29" s="604"/>
      <c r="EA29" s="604"/>
      <c r="EB29" s="604"/>
      <c r="EC29" s="604"/>
      <c r="ED29" s="604"/>
      <c r="EE29" s="604"/>
      <c r="EF29" s="604"/>
      <c r="EG29" s="604"/>
      <c r="EH29" s="604"/>
      <c r="EI29" s="604"/>
      <c r="EJ29" s="604"/>
      <c r="EK29" s="604"/>
      <c r="EL29" s="604"/>
      <c r="EM29" s="604"/>
      <c r="EN29" s="604"/>
      <c r="EO29" s="604"/>
      <c r="EP29" s="604"/>
      <c r="EQ29" s="604"/>
      <c r="ER29" s="604"/>
      <c r="ES29" s="604"/>
      <c r="ET29" s="604"/>
      <c r="EU29" s="604"/>
      <c r="EV29" s="604"/>
      <c r="EW29" s="604"/>
      <c r="EX29" s="604"/>
      <c r="EY29" s="604"/>
      <c r="EZ29" s="604"/>
      <c r="FA29" s="604"/>
      <c r="FB29" s="604"/>
      <c r="FC29" s="604"/>
      <c r="FD29" s="604"/>
      <c r="FE29" s="604"/>
      <c r="FF29" s="604"/>
      <c r="FG29" s="604"/>
      <c r="FH29" s="604"/>
      <c r="FI29" s="604"/>
      <c r="FJ29" s="604"/>
      <c r="FK29" s="604"/>
      <c r="FL29" s="604"/>
      <c r="FM29" s="604"/>
      <c r="FN29" s="604"/>
      <c r="FO29" s="604"/>
      <c r="FP29" s="604"/>
      <c r="FQ29" s="604"/>
      <c r="FR29" s="604"/>
      <c r="FS29" s="604"/>
      <c r="FT29" s="604"/>
      <c r="FU29" s="604"/>
      <c r="FV29" s="604"/>
      <c r="FW29" s="604"/>
      <c r="FX29" s="604"/>
      <c r="FY29" s="604"/>
      <c r="FZ29" s="604"/>
      <c r="GA29" s="604"/>
      <c r="GB29" s="604"/>
      <c r="GC29" s="604"/>
      <c r="GD29" s="604"/>
      <c r="GE29" s="604"/>
      <c r="GF29" s="604"/>
      <c r="GG29" s="604"/>
      <c r="GH29" s="604"/>
      <c r="GI29" s="604"/>
      <c r="GJ29" s="604"/>
      <c r="GK29" s="604"/>
      <c r="GL29" s="604"/>
      <c r="GM29" s="604"/>
      <c r="GN29" s="604"/>
      <c r="GO29" s="604"/>
      <c r="GP29" s="604"/>
      <c r="GQ29" s="604"/>
      <c r="GR29" s="604"/>
      <c r="GS29" s="604"/>
      <c r="GT29" s="604"/>
      <c r="GU29" s="604"/>
      <c r="GV29" s="604"/>
      <c r="GW29" s="604"/>
      <c r="GX29" s="604"/>
      <c r="GY29" s="604"/>
      <c r="GZ29" s="604"/>
      <c r="HA29" s="604"/>
      <c r="HB29" s="604"/>
      <c r="HC29" s="604"/>
      <c r="HD29" s="604"/>
      <c r="HE29" s="604"/>
      <c r="HF29" s="604"/>
      <c r="HG29" s="604"/>
      <c r="HH29" s="604"/>
      <c r="HI29" s="604"/>
      <c r="HJ29" s="604"/>
      <c r="HK29" s="604"/>
      <c r="HL29" s="604"/>
      <c r="HM29" s="604"/>
      <c r="HN29" s="604"/>
      <c r="HO29" s="604"/>
      <c r="HP29" s="604"/>
      <c r="HQ29" s="604"/>
      <c r="HR29" s="604"/>
      <c r="HS29" s="604"/>
      <c r="HT29" s="604"/>
      <c r="HU29" s="604"/>
      <c r="HV29" s="604"/>
      <c r="HW29" s="604"/>
      <c r="HX29" s="604"/>
      <c r="HY29" s="604"/>
      <c r="HZ29" s="604"/>
      <c r="IA29" s="604"/>
      <c r="IB29" s="604"/>
      <c r="IC29" s="604"/>
      <c r="ID29" s="604"/>
      <c r="IE29" s="604"/>
      <c r="IF29" s="604"/>
      <c r="IG29" s="604"/>
      <c r="IH29" s="604"/>
      <c r="II29" s="604"/>
      <c r="IJ29" s="604"/>
      <c r="IK29" s="604"/>
      <c r="IL29" s="604"/>
      <c r="IM29" s="604"/>
      <c r="IN29" s="604"/>
      <c r="IO29" s="604"/>
      <c r="IP29" s="604"/>
      <c r="IQ29" s="604"/>
      <c r="IR29" s="604"/>
      <c r="IS29" s="604"/>
      <c r="IT29" s="604"/>
      <c r="IU29" s="604"/>
      <c r="IV29" s="604"/>
    </row>
    <row r="30" spans="1:256" ht="21.6" thickBot="1">
      <c r="A30" s="830"/>
      <c r="B30" s="830"/>
      <c r="C30" s="659" t="s">
        <v>533</v>
      </c>
      <c r="D30" s="831" t="s">
        <v>534</v>
      </c>
      <c r="E30" s="833"/>
      <c r="F30" s="660"/>
      <c r="G30" s="830"/>
      <c r="H30" s="836"/>
      <c r="I30" s="837"/>
      <c r="J30" s="604"/>
      <c r="K30" s="604"/>
      <c r="L30" s="604"/>
      <c r="M30" s="604"/>
      <c r="N30" s="604"/>
      <c r="O30" s="604"/>
      <c r="P30" s="604"/>
      <c r="Q30" s="604"/>
      <c r="R30" s="604"/>
      <c r="S30" s="604"/>
      <c r="T30" s="604"/>
      <c r="U30" s="604"/>
      <c r="V30" s="604"/>
      <c r="W30" s="604"/>
      <c r="X30" s="604"/>
      <c r="Y30" s="604"/>
      <c r="Z30" s="604"/>
      <c r="AA30" s="604"/>
      <c r="AB30" s="604"/>
      <c r="AC30" s="604"/>
      <c r="AD30" s="604"/>
      <c r="AE30" s="604"/>
      <c r="AF30" s="604"/>
      <c r="AG30" s="604"/>
      <c r="AH30" s="604"/>
      <c r="AI30" s="604"/>
      <c r="AJ30" s="604"/>
      <c r="AK30" s="604"/>
      <c r="AL30" s="604"/>
      <c r="AM30" s="604"/>
      <c r="AN30" s="604"/>
      <c r="AO30" s="604"/>
      <c r="AP30" s="604"/>
      <c r="AQ30" s="604"/>
      <c r="AR30" s="604"/>
      <c r="AS30" s="604"/>
      <c r="AT30" s="604"/>
      <c r="AU30" s="604"/>
      <c r="AV30" s="604"/>
      <c r="AW30" s="604"/>
      <c r="AX30" s="604"/>
      <c r="AY30" s="604"/>
      <c r="AZ30" s="604"/>
      <c r="BA30" s="604"/>
      <c r="BB30" s="604"/>
      <c r="BC30" s="604"/>
      <c r="BD30" s="604"/>
      <c r="BE30" s="604"/>
      <c r="BF30" s="604"/>
      <c r="BG30" s="604"/>
      <c r="BH30" s="604"/>
      <c r="BI30" s="604"/>
      <c r="BJ30" s="604"/>
      <c r="BK30" s="604"/>
      <c r="BL30" s="604"/>
      <c r="BM30" s="604"/>
      <c r="BN30" s="604"/>
      <c r="BO30" s="604"/>
      <c r="BP30" s="604"/>
      <c r="BQ30" s="604"/>
      <c r="BR30" s="604"/>
      <c r="BS30" s="604"/>
      <c r="BT30" s="604"/>
      <c r="BU30" s="604"/>
      <c r="BV30" s="604"/>
      <c r="BW30" s="604"/>
      <c r="BX30" s="604"/>
      <c r="BY30" s="604"/>
      <c r="BZ30" s="604"/>
      <c r="CA30" s="604"/>
      <c r="CB30" s="604"/>
      <c r="CC30" s="604"/>
      <c r="CD30" s="604"/>
      <c r="CE30" s="604"/>
      <c r="CF30" s="604"/>
      <c r="CG30" s="604"/>
      <c r="CH30" s="604"/>
      <c r="CI30" s="604"/>
      <c r="CJ30" s="604"/>
      <c r="CK30" s="604"/>
      <c r="CL30" s="604"/>
      <c r="CM30" s="604"/>
      <c r="CN30" s="604"/>
      <c r="CO30" s="604"/>
      <c r="CP30" s="604"/>
      <c r="CQ30" s="604"/>
      <c r="CR30" s="604"/>
      <c r="CS30" s="604"/>
      <c r="CT30" s="604"/>
      <c r="CU30" s="604"/>
      <c r="CV30" s="604"/>
      <c r="CW30" s="604"/>
      <c r="CX30" s="604"/>
      <c r="CY30" s="604"/>
      <c r="CZ30" s="604"/>
      <c r="DA30" s="604"/>
      <c r="DB30" s="604"/>
      <c r="DC30" s="604"/>
      <c r="DD30" s="604"/>
      <c r="DE30" s="604"/>
      <c r="DF30" s="604"/>
      <c r="DG30" s="604"/>
      <c r="DH30" s="604"/>
      <c r="DI30" s="604"/>
      <c r="DJ30" s="604"/>
      <c r="DK30" s="604"/>
      <c r="DL30" s="604"/>
      <c r="DM30" s="604"/>
      <c r="DN30" s="604"/>
      <c r="DO30" s="604"/>
      <c r="DP30" s="604"/>
      <c r="DQ30" s="604"/>
      <c r="DR30" s="604"/>
      <c r="DS30" s="604"/>
      <c r="DT30" s="604"/>
      <c r="DU30" s="604"/>
      <c r="DV30" s="604"/>
      <c r="DW30" s="604"/>
      <c r="DX30" s="604"/>
      <c r="DY30" s="604"/>
      <c r="DZ30" s="604"/>
      <c r="EA30" s="604"/>
      <c r="EB30" s="604"/>
      <c r="EC30" s="604"/>
      <c r="ED30" s="604"/>
      <c r="EE30" s="604"/>
      <c r="EF30" s="604"/>
      <c r="EG30" s="604"/>
      <c r="EH30" s="604"/>
      <c r="EI30" s="604"/>
      <c r="EJ30" s="604"/>
      <c r="EK30" s="604"/>
      <c r="EL30" s="604"/>
      <c r="EM30" s="604"/>
      <c r="EN30" s="604"/>
      <c r="EO30" s="604"/>
      <c r="EP30" s="604"/>
      <c r="EQ30" s="604"/>
      <c r="ER30" s="604"/>
      <c r="ES30" s="604"/>
      <c r="ET30" s="604"/>
      <c r="EU30" s="604"/>
      <c r="EV30" s="604"/>
      <c r="EW30" s="604"/>
      <c r="EX30" s="604"/>
      <c r="EY30" s="604"/>
      <c r="EZ30" s="604"/>
      <c r="FA30" s="604"/>
      <c r="FB30" s="604"/>
      <c r="FC30" s="604"/>
      <c r="FD30" s="604"/>
      <c r="FE30" s="604"/>
      <c r="FF30" s="604"/>
      <c r="FG30" s="604"/>
      <c r="FH30" s="604"/>
      <c r="FI30" s="604"/>
      <c r="FJ30" s="604"/>
      <c r="FK30" s="604"/>
      <c r="FL30" s="604"/>
      <c r="FM30" s="604"/>
      <c r="FN30" s="604"/>
      <c r="FO30" s="604"/>
      <c r="FP30" s="604"/>
      <c r="FQ30" s="604"/>
      <c r="FR30" s="604"/>
      <c r="FS30" s="604"/>
      <c r="FT30" s="604"/>
      <c r="FU30" s="604"/>
      <c r="FV30" s="604"/>
      <c r="FW30" s="604"/>
      <c r="FX30" s="604"/>
      <c r="FY30" s="604"/>
      <c r="FZ30" s="604"/>
      <c r="GA30" s="604"/>
      <c r="GB30" s="604"/>
      <c r="GC30" s="604"/>
      <c r="GD30" s="604"/>
      <c r="GE30" s="604"/>
      <c r="GF30" s="604"/>
      <c r="GG30" s="604"/>
      <c r="GH30" s="604"/>
      <c r="GI30" s="604"/>
      <c r="GJ30" s="604"/>
      <c r="GK30" s="604"/>
      <c r="GL30" s="604"/>
      <c r="GM30" s="604"/>
      <c r="GN30" s="604"/>
      <c r="GO30" s="604"/>
      <c r="GP30" s="604"/>
      <c r="GQ30" s="604"/>
      <c r="GR30" s="604"/>
      <c r="GS30" s="604"/>
      <c r="GT30" s="604"/>
      <c r="GU30" s="604"/>
      <c r="GV30" s="604"/>
      <c r="GW30" s="604"/>
      <c r="GX30" s="604"/>
      <c r="GY30" s="604"/>
      <c r="GZ30" s="604"/>
      <c r="HA30" s="604"/>
      <c r="HB30" s="604"/>
      <c r="HC30" s="604"/>
      <c r="HD30" s="604"/>
      <c r="HE30" s="604"/>
      <c r="HF30" s="604"/>
      <c r="HG30" s="604"/>
      <c r="HH30" s="604"/>
      <c r="HI30" s="604"/>
      <c r="HJ30" s="604"/>
      <c r="HK30" s="604"/>
      <c r="HL30" s="604"/>
      <c r="HM30" s="604"/>
      <c r="HN30" s="604"/>
      <c r="HO30" s="604"/>
      <c r="HP30" s="604"/>
      <c r="HQ30" s="604"/>
      <c r="HR30" s="604"/>
      <c r="HS30" s="604"/>
      <c r="HT30" s="604"/>
      <c r="HU30" s="604"/>
      <c r="HV30" s="604"/>
      <c r="HW30" s="604"/>
      <c r="HX30" s="604"/>
      <c r="HY30" s="604"/>
      <c r="HZ30" s="604"/>
      <c r="IA30" s="604"/>
      <c r="IB30" s="604"/>
      <c r="IC30" s="604"/>
      <c r="ID30" s="604"/>
      <c r="IE30" s="604"/>
      <c r="IF30" s="604"/>
      <c r="IG30" s="604"/>
      <c r="IH30" s="604"/>
      <c r="II30" s="604"/>
      <c r="IJ30" s="604"/>
      <c r="IK30" s="604"/>
      <c r="IL30" s="604"/>
      <c r="IM30" s="604"/>
      <c r="IN30" s="604"/>
      <c r="IO30" s="604"/>
      <c r="IP30" s="604"/>
      <c r="IQ30" s="604"/>
      <c r="IR30" s="604"/>
      <c r="IS30" s="604"/>
      <c r="IT30" s="604"/>
      <c r="IU30" s="604"/>
      <c r="IV30" s="604"/>
    </row>
    <row r="31" spans="1:256" ht="54" customHeight="1" thickBot="1">
      <c r="A31" s="661">
        <v>1</v>
      </c>
      <c r="B31" s="662" t="s">
        <v>535</v>
      </c>
      <c r="C31" s="663">
        <f>O20</f>
        <v>0</v>
      </c>
      <c r="D31" s="838">
        <f>D23</f>
        <v>2.78505</v>
      </c>
      <c r="E31" s="833"/>
      <c r="F31" s="664"/>
      <c r="G31" s="665">
        <f>D31</f>
        <v>2.78505</v>
      </c>
      <c r="H31" s="839" t="s">
        <v>536</v>
      </c>
      <c r="I31" s="840"/>
      <c r="J31" s="604"/>
      <c r="K31" s="604"/>
      <c r="L31" s="604"/>
      <c r="M31" s="604"/>
      <c r="N31" s="604"/>
      <c r="O31" s="604"/>
      <c r="P31" s="604"/>
      <c r="Q31" s="604"/>
      <c r="R31" s="604"/>
      <c r="S31" s="604"/>
      <c r="T31" s="604"/>
      <c r="U31" s="604"/>
      <c r="V31" s="604"/>
      <c r="W31" s="604"/>
      <c r="X31" s="604"/>
      <c r="Y31" s="604"/>
      <c r="Z31" s="604"/>
      <c r="AA31" s="604"/>
      <c r="AB31" s="604"/>
      <c r="AC31" s="604"/>
      <c r="AD31" s="604"/>
      <c r="AE31" s="604"/>
      <c r="AF31" s="604"/>
      <c r="AG31" s="604"/>
      <c r="AH31" s="604"/>
      <c r="AI31" s="604"/>
      <c r="AJ31" s="604"/>
      <c r="AK31" s="604"/>
      <c r="AL31" s="604"/>
      <c r="AM31" s="604"/>
      <c r="AN31" s="604"/>
      <c r="AO31" s="604"/>
      <c r="AP31" s="604"/>
      <c r="AQ31" s="604"/>
      <c r="AR31" s="604"/>
      <c r="AS31" s="604"/>
      <c r="AT31" s="604"/>
      <c r="AU31" s="604"/>
      <c r="AV31" s="604"/>
      <c r="AW31" s="604"/>
      <c r="AX31" s="604"/>
      <c r="AY31" s="604"/>
      <c r="AZ31" s="604"/>
      <c r="BA31" s="604"/>
      <c r="BB31" s="604"/>
      <c r="BC31" s="604"/>
      <c r="BD31" s="604"/>
      <c r="BE31" s="604"/>
      <c r="BF31" s="604"/>
      <c r="BG31" s="604"/>
      <c r="BH31" s="604"/>
      <c r="BI31" s="604"/>
      <c r="BJ31" s="604"/>
      <c r="BK31" s="604"/>
      <c r="BL31" s="604"/>
      <c r="BM31" s="604"/>
      <c r="BN31" s="604"/>
      <c r="BO31" s="604"/>
      <c r="BP31" s="604"/>
      <c r="BQ31" s="604"/>
      <c r="BR31" s="604"/>
      <c r="BS31" s="604"/>
      <c r="BT31" s="604"/>
      <c r="BU31" s="604"/>
      <c r="BV31" s="604"/>
      <c r="BW31" s="604"/>
      <c r="BX31" s="604"/>
      <c r="BY31" s="604"/>
      <c r="BZ31" s="604"/>
      <c r="CA31" s="604"/>
      <c r="CB31" s="604"/>
      <c r="CC31" s="604"/>
      <c r="CD31" s="604"/>
      <c r="CE31" s="604"/>
      <c r="CF31" s="604"/>
      <c r="CG31" s="604"/>
      <c r="CH31" s="604"/>
      <c r="CI31" s="604"/>
      <c r="CJ31" s="604"/>
      <c r="CK31" s="604"/>
      <c r="CL31" s="604"/>
      <c r="CM31" s="604"/>
      <c r="CN31" s="604"/>
      <c r="CO31" s="604"/>
      <c r="CP31" s="604"/>
      <c r="CQ31" s="604"/>
      <c r="CR31" s="604"/>
      <c r="CS31" s="604"/>
      <c r="CT31" s="604"/>
      <c r="CU31" s="604"/>
      <c r="CV31" s="604"/>
      <c r="CW31" s="604"/>
      <c r="CX31" s="604"/>
      <c r="CY31" s="604"/>
      <c r="CZ31" s="604"/>
      <c r="DA31" s="604"/>
      <c r="DB31" s="604"/>
      <c r="DC31" s="604"/>
      <c r="DD31" s="604"/>
      <c r="DE31" s="604"/>
      <c r="DF31" s="604"/>
      <c r="DG31" s="604"/>
      <c r="DH31" s="604"/>
      <c r="DI31" s="604"/>
      <c r="DJ31" s="604"/>
      <c r="DK31" s="604"/>
      <c r="DL31" s="604"/>
      <c r="DM31" s="604"/>
      <c r="DN31" s="604"/>
      <c r="DO31" s="604"/>
      <c r="DP31" s="604"/>
      <c r="DQ31" s="604"/>
      <c r="DR31" s="604"/>
      <c r="DS31" s="604"/>
      <c r="DT31" s="604"/>
      <c r="DU31" s="604"/>
      <c r="DV31" s="604"/>
      <c r="DW31" s="604"/>
      <c r="DX31" s="604"/>
      <c r="DY31" s="604"/>
      <c r="DZ31" s="604"/>
      <c r="EA31" s="604"/>
      <c r="EB31" s="604"/>
      <c r="EC31" s="604"/>
      <c r="ED31" s="604"/>
      <c r="EE31" s="604"/>
      <c r="EF31" s="604"/>
      <c r="EG31" s="604"/>
      <c r="EH31" s="604"/>
      <c r="EI31" s="604"/>
      <c r="EJ31" s="604"/>
      <c r="EK31" s="604"/>
      <c r="EL31" s="604"/>
      <c r="EM31" s="604"/>
      <c r="EN31" s="604"/>
      <c r="EO31" s="604"/>
      <c r="EP31" s="604"/>
      <c r="EQ31" s="604"/>
      <c r="ER31" s="604"/>
      <c r="ES31" s="604"/>
      <c r="ET31" s="604"/>
      <c r="EU31" s="604"/>
      <c r="EV31" s="604"/>
      <c r="EW31" s="604"/>
      <c r="EX31" s="604"/>
      <c r="EY31" s="604"/>
      <c r="EZ31" s="604"/>
      <c r="FA31" s="604"/>
      <c r="FB31" s="604"/>
      <c r="FC31" s="604"/>
      <c r="FD31" s="604"/>
      <c r="FE31" s="604"/>
      <c r="FF31" s="604"/>
      <c r="FG31" s="604"/>
      <c r="FH31" s="604"/>
      <c r="FI31" s="604"/>
      <c r="FJ31" s="604"/>
      <c r="FK31" s="604"/>
      <c r="FL31" s="604"/>
      <c r="FM31" s="604"/>
      <c r="FN31" s="604"/>
      <c r="FO31" s="604"/>
      <c r="FP31" s="604"/>
      <c r="FQ31" s="604"/>
      <c r="FR31" s="604"/>
      <c r="FS31" s="604"/>
      <c r="FT31" s="604"/>
      <c r="FU31" s="604"/>
      <c r="FV31" s="604"/>
      <c r="FW31" s="604"/>
      <c r="FX31" s="604"/>
      <c r="FY31" s="604"/>
      <c r="FZ31" s="604"/>
      <c r="GA31" s="604"/>
      <c r="GB31" s="604"/>
      <c r="GC31" s="604"/>
      <c r="GD31" s="604"/>
      <c r="GE31" s="604"/>
      <c r="GF31" s="604"/>
      <c r="GG31" s="604"/>
      <c r="GH31" s="604"/>
      <c r="GI31" s="604"/>
      <c r="GJ31" s="604"/>
      <c r="GK31" s="604"/>
      <c r="GL31" s="604"/>
      <c r="GM31" s="604"/>
      <c r="GN31" s="604"/>
      <c r="GO31" s="604"/>
      <c r="GP31" s="604"/>
      <c r="GQ31" s="604"/>
      <c r="GR31" s="604"/>
      <c r="GS31" s="604"/>
      <c r="GT31" s="604"/>
      <c r="GU31" s="604"/>
      <c r="GV31" s="604"/>
      <c r="GW31" s="604"/>
      <c r="GX31" s="604"/>
      <c r="GY31" s="604"/>
      <c r="GZ31" s="604"/>
      <c r="HA31" s="604"/>
      <c r="HB31" s="604"/>
      <c r="HC31" s="604"/>
      <c r="HD31" s="604"/>
      <c r="HE31" s="604"/>
      <c r="HF31" s="604"/>
      <c r="HG31" s="604"/>
      <c r="HH31" s="604"/>
      <c r="HI31" s="604"/>
      <c r="HJ31" s="604"/>
      <c r="HK31" s="604"/>
      <c r="HL31" s="604"/>
      <c r="HM31" s="604"/>
      <c r="HN31" s="604"/>
      <c r="HO31" s="604"/>
      <c r="HP31" s="604"/>
      <c r="HQ31" s="604"/>
      <c r="HR31" s="604"/>
      <c r="HS31" s="604"/>
      <c r="HT31" s="604"/>
      <c r="HU31" s="604"/>
      <c r="HV31" s="604"/>
      <c r="HW31" s="604"/>
      <c r="HX31" s="604"/>
      <c r="HY31" s="604"/>
      <c r="HZ31" s="604"/>
      <c r="IA31" s="604"/>
      <c r="IB31" s="604"/>
      <c r="IC31" s="604"/>
      <c r="ID31" s="604"/>
      <c r="IE31" s="604"/>
      <c r="IF31" s="604"/>
      <c r="IG31" s="604"/>
      <c r="IH31" s="604"/>
      <c r="II31" s="604"/>
      <c r="IJ31" s="604"/>
      <c r="IK31" s="604"/>
      <c r="IL31" s="604"/>
      <c r="IM31" s="604"/>
      <c r="IN31" s="604"/>
      <c r="IO31" s="604"/>
      <c r="IP31" s="604"/>
      <c r="IQ31" s="604"/>
      <c r="IR31" s="604"/>
      <c r="IS31" s="604"/>
      <c r="IT31" s="604"/>
      <c r="IU31" s="604"/>
      <c r="IV31" s="604"/>
    </row>
    <row r="32" spans="1:256" ht="25.5" customHeight="1" thickBot="1">
      <c r="A32" s="661">
        <f>A31+1</f>
        <v>2</v>
      </c>
      <c r="B32" s="666" t="s">
        <v>537</v>
      </c>
      <c r="C32" s="663">
        <f>O21</f>
        <v>0</v>
      </c>
      <c r="D32" s="838">
        <f>capcost!D107</f>
        <v>0.94605484173913046</v>
      </c>
      <c r="E32" s="841"/>
      <c r="F32" s="667">
        <f>(D32+C32)*$F$30</f>
        <v>0</v>
      </c>
      <c r="G32" s="665">
        <f>D32</f>
        <v>0.94605484173913046</v>
      </c>
      <c r="H32" s="842"/>
      <c r="I32" s="843"/>
      <c r="J32" s="604"/>
      <c r="K32" s="604"/>
      <c r="L32" s="604"/>
      <c r="M32" s="604"/>
      <c r="N32" s="604"/>
      <c r="O32" s="604"/>
      <c r="P32" s="604"/>
      <c r="Q32" s="604"/>
      <c r="R32" s="604"/>
      <c r="S32" s="604"/>
      <c r="T32" s="604"/>
      <c r="U32" s="604"/>
      <c r="V32" s="604"/>
      <c r="W32" s="604"/>
      <c r="X32" s="604"/>
      <c r="Y32" s="604"/>
      <c r="Z32" s="604"/>
      <c r="AA32" s="604"/>
      <c r="AB32" s="604"/>
      <c r="AC32" s="604"/>
      <c r="AD32" s="604"/>
      <c r="AE32" s="604"/>
      <c r="AF32" s="604"/>
      <c r="AG32" s="604"/>
      <c r="AH32" s="604"/>
      <c r="AI32" s="604"/>
      <c r="AJ32" s="604"/>
      <c r="AK32" s="604"/>
      <c r="AL32" s="604"/>
      <c r="AM32" s="604"/>
      <c r="AN32" s="604"/>
      <c r="AO32" s="604"/>
      <c r="AP32" s="604"/>
      <c r="AQ32" s="604"/>
      <c r="AR32" s="604"/>
      <c r="AS32" s="604"/>
      <c r="AT32" s="604"/>
      <c r="AU32" s="604"/>
      <c r="AV32" s="604"/>
      <c r="AW32" s="604"/>
      <c r="AX32" s="604"/>
      <c r="AY32" s="604"/>
      <c r="AZ32" s="604"/>
      <c r="BA32" s="604"/>
      <c r="BB32" s="604"/>
      <c r="BC32" s="604"/>
      <c r="BD32" s="604"/>
      <c r="BE32" s="604"/>
      <c r="BF32" s="604"/>
      <c r="BG32" s="604"/>
      <c r="BH32" s="604"/>
      <c r="BI32" s="604"/>
      <c r="BJ32" s="604"/>
      <c r="BK32" s="604"/>
      <c r="BL32" s="604"/>
      <c r="BM32" s="604"/>
      <c r="BN32" s="604"/>
      <c r="BO32" s="604"/>
      <c r="BP32" s="604"/>
      <c r="BQ32" s="604"/>
      <c r="BR32" s="604"/>
      <c r="BS32" s="604"/>
      <c r="BT32" s="604"/>
      <c r="BU32" s="604"/>
      <c r="BV32" s="604"/>
      <c r="BW32" s="604"/>
      <c r="BX32" s="604"/>
      <c r="BY32" s="604"/>
      <c r="BZ32" s="604"/>
      <c r="CA32" s="604"/>
      <c r="CB32" s="604"/>
      <c r="CC32" s="604"/>
      <c r="CD32" s="604"/>
      <c r="CE32" s="604"/>
      <c r="CF32" s="604"/>
      <c r="CG32" s="604"/>
      <c r="CH32" s="604"/>
      <c r="CI32" s="604"/>
      <c r="CJ32" s="604"/>
      <c r="CK32" s="604"/>
      <c r="CL32" s="604"/>
      <c r="CM32" s="604"/>
      <c r="CN32" s="604"/>
      <c r="CO32" s="604"/>
      <c r="CP32" s="604"/>
      <c r="CQ32" s="604"/>
      <c r="CR32" s="604"/>
      <c r="CS32" s="604"/>
      <c r="CT32" s="604"/>
      <c r="CU32" s="604"/>
      <c r="CV32" s="604"/>
      <c r="CW32" s="604"/>
      <c r="CX32" s="604"/>
      <c r="CY32" s="604"/>
      <c r="CZ32" s="604"/>
      <c r="DA32" s="604"/>
      <c r="DB32" s="604"/>
      <c r="DC32" s="604"/>
      <c r="DD32" s="604"/>
      <c r="DE32" s="604"/>
      <c r="DF32" s="604"/>
      <c r="DG32" s="604"/>
      <c r="DH32" s="604"/>
      <c r="DI32" s="604"/>
      <c r="DJ32" s="604"/>
      <c r="DK32" s="604"/>
      <c r="DL32" s="604"/>
      <c r="DM32" s="604"/>
      <c r="DN32" s="604"/>
      <c r="DO32" s="604"/>
      <c r="DP32" s="604"/>
      <c r="DQ32" s="604"/>
      <c r="DR32" s="604"/>
      <c r="DS32" s="604"/>
      <c r="DT32" s="604"/>
      <c r="DU32" s="604"/>
      <c r="DV32" s="604"/>
      <c r="DW32" s="604"/>
      <c r="DX32" s="604"/>
      <c r="DY32" s="604"/>
      <c r="DZ32" s="604"/>
      <c r="EA32" s="604"/>
      <c r="EB32" s="604"/>
      <c r="EC32" s="604"/>
      <c r="ED32" s="604"/>
      <c r="EE32" s="604"/>
      <c r="EF32" s="604"/>
      <c r="EG32" s="604"/>
      <c r="EH32" s="604"/>
      <c r="EI32" s="604"/>
      <c r="EJ32" s="604"/>
      <c r="EK32" s="604"/>
      <c r="EL32" s="604"/>
      <c r="EM32" s="604"/>
      <c r="EN32" s="604"/>
      <c r="EO32" s="604"/>
      <c r="EP32" s="604"/>
      <c r="EQ32" s="604"/>
      <c r="ER32" s="604"/>
      <c r="ES32" s="604"/>
      <c r="ET32" s="604"/>
      <c r="EU32" s="604"/>
      <c r="EV32" s="604"/>
      <c r="EW32" s="604"/>
      <c r="EX32" s="604"/>
      <c r="EY32" s="604"/>
      <c r="EZ32" s="604"/>
      <c r="FA32" s="604"/>
      <c r="FB32" s="604"/>
      <c r="FC32" s="604"/>
      <c r="FD32" s="604"/>
      <c r="FE32" s="604"/>
      <c r="FF32" s="604"/>
      <c r="FG32" s="604"/>
      <c r="FH32" s="604"/>
      <c r="FI32" s="604"/>
      <c r="FJ32" s="604"/>
      <c r="FK32" s="604"/>
      <c r="FL32" s="604"/>
      <c r="FM32" s="604"/>
      <c r="FN32" s="604"/>
      <c r="FO32" s="604"/>
      <c r="FP32" s="604"/>
      <c r="FQ32" s="604"/>
      <c r="FR32" s="604"/>
      <c r="FS32" s="604"/>
      <c r="FT32" s="604"/>
      <c r="FU32" s="604"/>
      <c r="FV32" s="604"/>
      <c r="FW32" s="604"/>
      <c r="FX32" s="604"/>
      <c r="FY32" s="604"/>
      <c r="FZ32" s="604"/>
      <c r="GA32" s="604"/>
      <c r="GB32" s="604"/>
      <c r="GC32" s="604"/>
      <c r="GD32" s="604"/>
      <c r="GE32" s="604"/>
      <c r="GF32" s="604"/>
      <c r="GG32" s="604"/>
      <c r="GH32" s="604"/>
      <c r="GI32" s="604"/>
      <c r="GJ32" s="604"/>
      <c r="GK32" s="604"/>
      <c r="GL32" s="604"/>
      <c r="GM32" s="604"/>
      <c r="GN32" s="604"/>
      <c r="GO32" s="604"/>
      <c r="GP32" s="604"/>
      <c r="GQ32" s="604"/>
      <c r="GR32" s="604"/>
      <c r="GS32" s="604"/>
      <c r="GT32" s="604"/>
      <c r="GU32" s="604"/>
      <c r="GV32" s="604"/>
      <c r="GW32" s="604"/>
      <c r="GX32" s="604"/>
      <c r="GY32" s="604"/>
      <c r="GZ32" s="604"/>
      <c r="HA32" s="604"/>
      <c r="HB32" s="604"/>
      <c r="HC32" s="604"/>
      <c r="HD32" s="604"/>
      <c r="HE32" s="604"/>
      <c r="HF32" s="604"/>
      <c r="HG32" s="604"/>
      <c r="HH32" s="604"/>
      <c r="HI32" s="604"/>
      <c r="HJ32" s="604"/>
      <c r="HK32" s="604"/>
      <c r="HL32" s="604"/>
      <c r="HM32" s="604"/>
      <c r="HN32" s="604"/>
      <c r="HO32" s="604"/>
      <c r="HP32" s="604"/>
      <c r="HQ32" s="604"/>
      <c r="HR32" s="604"/>
      <c r="HS32" s="604"/>
      <c r="HT32" s="604"/>
      <c r="HU32" s="604"/>
      <c r="HV32" s="604"/>
      <c r="HW32" s="604"/>
      <c r="HX32" s="604"/>
      <c r="HY32" s="604"/>
      <c r="HZ32" s="604"/>
      <c r="IA32" s="604"/>
      <c r="IB32" s="604"/>
      <c r="IC32" s="604"/>
      <c r="ID32" s="604"/>
      <c r="IE32" s="604"/>
      <c r="IF32" s="604"/>
      <c r="IG32" s="604"/>
      <c r="IH32" s="604"/>
      <c r="II32" s="604"/>
      <c r="IJ32" s="604"/>
      <c r="IK32" s="604"/>
      <c r="IL32" s="604"/>
      <c r="IM32" s="604"/>
      <c r="IN32" s="604"/>
      <c r="IO32" s="604"/>
      <c r="IP32" s="604"/>
      <c r="IQ32" s="604"/>
      <c r="IR32" s="604"/>
      <c r="IS32" s="604"/>
      <c r="IT32" s="604"/>
      <c r="IU32" s="604"/>
      <c r="IV32" s="604"/>
    </row>
    <row r="33" spans="1:256" ht="21.6" thickBot="1">
      <c r="A33" s="661">
        <f t="shared" ref="A33:A43" si="3">A32+1</f>
        <v>3</v>
      </c>
      <c r="B33" s="666" t="s">
        <v>538</v>
      </c>
      <c r="C33" s="663">
        <f>O22</f>
        <v>0</v>
      </c>
      <c r="D33" s="838">
        <f>capcost!D105</f>
        <v>0.49875000000000003</v>
      </c>
      <c r="E33" s="841"/>
      <c r="F33" s="667">
        <f t="shared" ref="F33:F44" si="4">(D33+C33)*$F$30</f>
        <v>0</v>
      </c>
      <c r="G33" s="665">
        <f t="shared" ref="G33:G40" si="5">C33+D33+F33</f>
        <v>0.49875000000000003</v>
      </c>
      <c r="H33" s="831"/>
      <c r="I33" s="833"/>
      <c r="J33" s="604"/>
      <c r="K33" s="604"/>
      <c r="L33" s="604"/>
      <c r="M33" s="604"/>
      <c r="N33" s="604"/>
      <c r="O33" s="604"/>
      <c r="P33" s="604"/>
      <c r="Q33" s="604"/>
      <c r="R33" s="604"/>
      <c r="S33" s="604"/>
      <c r="T33" s="604"/>
      <c r="U33" s="604"/>
      <c r="V33" s="604"/>
      <c r="W33" s="604"/>
      <c r="X33" s="604"/>
      <c r="Y33" s="604"/>
      <c r="Z33" s="604"/>
      <c r="AA33" s="604"/>
      <c r="AB33" s="604"/>
      <c r="AC33" s="604"/>
      <c r="AD33" s="604"/>
      <c r="AE33" s="604"/>
      <c r="AF33" s="604"/>
      <c r="AG33" s="604"/>
      <c r="AH33" s="604"/>
      <c r="AI33" s="604"/>
      <c r="AJ33" s="604"/>
      <c r="AK33" s="604"/>
      <c r="AL33" s="604"/>
      <c r="AM33" s="604"/>
      <c r="AN33" s="604"/>
      <c r="AO33" s="604"/>
      <c r="AP33" s="604"/>
      <c r="AQ33" s="604"/>
      <c r="AR33" s="604"/>
      <c r="AS33" s="604"/>
      <c r="AT33" s="604"/>
      <c r="AU33" s="604"/>
      <c r="AV33" s="604"/>
      <c r="AW33" s="604"/>
      <c r="AX33" s="604"/>
      <c r="AY33" s="604"/>
      <c r="AZ33" s="604"/>
      <c r="BA33" s="604"/>
      <c r="BB33" s="604"/>
      <c r="BC33" s="604"/>
      <c r="BD33" s="604"/>
      <c r="BE33" s="604"/>
      <c r="BF33" s="604"/>
      <c r="BG33" s="604"/>
      <c r="BH33" s="604"/>
      <c r="BI33" s="604"/>
      <c r="BJ33" s="604"/>
      <c r="BK33" s="604"/>
      <c r="BL33" s="604"/>
      <c r="BM33" s="604"/>
      <c r="BN33" s="604"/>
      <c r="BO33" s="604"/>
      <c r="BP33" s="604"/>
      <c r="BQ33" s="604"/>
      <c r="BR33" s="604"/>
      <c r="BS33" s="604"/>
      <c r="BT33" s="604"/>
      <c r="BU33" s="604"/>
      <c r="BV33" s="604"/>
      <c r="BW33" s="604"/>
      <c r="BX33" s="604"/>
      <c r="BY33" s="604"/>
      <c r="BZ33" s="604"/>
      <c r="CA33" s="604"/>
      <c r="CB33" s="604"/>
      <c r="CC33" s="604"/>
      <c r="CD33" s="604"/>
      <c r="CE33" s="604"/>
      <c r="CF33" s="604"/>
      <c r="CG33" s="604"/>
      <c r="CH33" s="604"/>
      <c r="CI33" s="604"/>
      <c r="CJ33" s="604"/>
      <c r="CK33" s="604"/>
      <c r="CL33" s="604"/>
      <c r="CM33" s="604"/>
      <c r="CN33" s="604"/>
      <c r="CO33" s="604"/>
      <c r="CP33" s="604"/>
      <c r="CQ33" s="604"/>
      <c r="CR33" s="604"/>
      <c r="CS33" s="604"/>
      <c r="CT33" s="604"/>
      <c r="CU33" s="604"/>
      <c r="CV33" s="604"/>
      <c r="CW33" s="604"/>
      <c r="CX33" s="604"/>
      <c r="CY33" s="604"/>
      <c r="CZ33" s="604"/>
      <c r="DA33" s="604"/>
      <c r="DB33" s="604"/>
      <c r="DC33" s="604"/>
      <c r="DD33" s="604"/>
      <c r="DE33" s="604"/>
      <c r="DF33" s="604"/>
      <c r="DG33" s="604"/>
      <c r="DH33" s="604"/>
      <c r="DI33" s="604"/>
      <c r="DJ33" s="604"/>
      <c r="DK33" s="604"/>
      <c r="DL33" s="604"/>
      <c r="DM33" s="604"/>
      <c r="DN33" s="604"/>
      <c r="DO33" s="604"/>
      <c r="DP33" s="604"/>
      <c r="DQ33" s="604"/>
      <c r="DR33" s="604"/>
      <c r="DS33" s="604"/>
      <c r="DT33" s="604"/>
      <c r="DU33" s="604"/>
      <c r="DV33" s="604"/>
      <c r="DW33" s="604"/>
      <c r="DX33" s="604"/>
      <c r="DY33" s="604"/>
      <c r="DZ33" s="604"/>
      <c r="EA33" s="604"/>
      <c r="EB33" s="604"/>
      <c r="EC33" s="604"/>
      <c r="ED33" s="604"/>
      <c r="EE33" s="604"/>
      <c r="EF33" s="604"/>
      <c r="EG33" s="604"/>
      <c r="EH33" s="604"/>
      <c r="EI33" s="604"/>
      <c r="EJ33" s="604"/>
      <c r="EK33" s="604"/>
      <c r="EL33" s="604"/>
      <c r="EM33" s="604"/>
      <c r="EN33" s="604"/>
      <c r="EO33" s="604"/>
      <c r="EP33" s="604"/>
      <c r="EQ33" s="604"/>
      <c r="ER33" s="604"/>
      <c r="ES33" s="604"/>
      <c r="ET33" s="604"/>
      <c r="EU33" s="604"/>
      <c r="EV33" s="604"/>
      <c r="EW33" s="604"/>
      <c r="EX33" s="604"/>
      <c r="EY33" s="604"/>
      <c r="EZ33" s="604"/>
      <c r="FA33" s="604"/>
      <c r="FB33" s="604"/>
      <c r="FC33" s="604"/>
      <c r="FD33" s="604"/>
      <c r="FE33" s="604"/>
      <c r="FF33" s="604"/>
      <c r="FG33" s="604"/>
      <c r="FH33" s="604"/>
      <c r="FI33" s="604"/>
      <c r="FJ33" s="604"/>
      <c r="FK33" s="604"/>
      <c r="FL33" s="604"/>
      <c r="FM33" s="604"/>
      <c r="FN33" s="604"/>
      <c r="FO33" s="604"/>
      <c r="FP33" s="604"/>
      <c r="FQ33" s="604"/>
      <c r="FR33" s="604"/>
      <c r="FS33" s="604"/>
      <c r="FT33" s="604"/>
      <c r="FU33" s="604"/>
      <c r="FV33" s="604"/>
      <c r="FW33" s="604"/>
      <c r="FX33" s="604"/>
      <c r="FY33" s="604"/>
      <c r="FZ33" s="604"/>
      <c r="GA33" s="604"/>
      <c r="GB33" s="604"/>
      <c r="GC33" s="604"/>
      <c r="GD33" s="604"/>
      <c r="GE33" s="604"/>
      <c r="GF33" s="604"/>
      <c r="GG33" s="604"/>
      <c r="GH33" s="604"/>
      <c r="GI33" s="604"/>
      <c r="GJ33" s="604"/>
      <c r="GK33" s="604"/>
      <c r="GL33" s="604"/>
      <c r="GM33" s="604"/>
      <c r="GN33" s="604"/>
      <c r="GO33" s="604"/>
      <c r="GP33" s="604"/>
      <c r="GQ33" s="604"/>
      <c r="GR33" s="604"/>
      <c r="GS33" s="604"/>
      <c r="GT33" s="604"/>
      <c r="GU33" s="604"/>
      <c r="GV33" s="604"/>
      <c r="GW33" s="604"/>
      <c r="GX33" s="604"/>
      <c r="GY33" s="604"/>
      <c r="GZ33" s="604"/>
      <c r="HA33" s="604"/>
      <c r="HB33" s="604"/>
      <c r="HC33" s="604"/>
      <c r="HD33" s="604"/>
      <c r="HE33" s="604"/>
      <c r="HF33" s="604"/>
      <c r="HG33" s="604"/>
      <c r="HH33" s="604"/>
      <c r="HI33" s="604"/>
      <c r="HJ33" s="604"/>
      <c r="HK33" s="604"/>
      <c r="HL33" s="604"/>
      <c r="HM33" s="604"/>
      <c r="HN33" s="604"/>
      <c r="HO33" s="604"/>
      <c r="HP33" s="604"/>
      <c r="HQ33" s="604"/>
      <c r="HR33" s="604"/>
      <c r="HS33" s="604"/>
      <c r="HT33" s="604"/>
      <c r="HU33" s="604"/>
      <c r="HV33" s="604"/>
      <c r="HW33" s="604"/>
      <c r="HX33" s="604"/>
      <c r="HY33" s="604"/>
      <c r="HZ33" s="604"/>
      <c r="IA33" s="604"/>
      <c r="IB33" s="604"/>
      <c r="IC33" s="604"/>
      <c r="ID33" s="604"/>
      <c r="IE33" s="604"/>
      <c r="IF33" s="604"/>
      <c r="IG33" s="604"/>
      <c r="IH33" s="604"/>
      <c r="II33" s="604"/>
      <c r="IJ33" s="604"/>
      <c r="IK33" s="604"/>
      <c r="IL33" s="604"/>
      <c r="IM33" s="604"/>
      <c r="IN33" s="604"/>
      <c r="IO33" s="604"/>
      <c r="IP33" s="604"/>
      <c r="IQ33" s="604"/>
      <c r="IR33" s="604"/>
      <c r="IS33" s="604"/>
      <c r="IT33" s="604"/>
      <c r="IU33" s="604"/>
      <c r="IV33" s="604"/>
    </row>
    <row r="34" spans="1:256" ht="21.6" thickBot="1">
      <c r="A34" s="661">
        <f t="shared" si="3"/>
        <v>4</v>
      </c>
      <c r="B34" s="666" t="s">
        <v>74</v>
      </c>
      <c r="C34" s="663">
        <f>O23</f>
        <v>0</v>
      </c>
      <c r="D34" s="838">
        <v>0</v>
      </c>
      <c r="E34" s="841"/>
      <c r="F34" s="667">
        <f t="shared" si="4"/>
        <v>0</v>
      </c>
      <c r="G34" s="665">
        <f t="shared" si="5"/>
        <v>0</v>
      </c>
      <c r="H34" s="831"/>
      <c r="I34" s="833"/>
      <c r="J34" s="604"/>
      <c r="K34" s="604"/>
      <c r="L34" s="604"/>
      <c r="M34" s="604"/>
      <c r="N34" s="604"/>
      <c r="O34" s="604"/>
      <c r="P34" s="604"/>
      <c r="Q34" s="604"/>
      <c r="R34" s="604"/>
      <c r="S34" s="604"/>
      <c r="T34" s="604"/>
      <c r="U34" s="604"/>
      <c r="V34" s="604"/>
      <c r="W34" s="604"/>
      <c r="X34" s="604"/>
      <c r="Y34" s="604"/>
      <c r="Z34" s="604"/>
      <c r="AA34" s="604"/>
      <c r="AB34" s="604"/>
      <c r="AC34" s="604"/>
      <c r="AD34" s="604"/>
      <c r="AE34" s="604"/>
      <c r="AF34" s="604"/>
      <c r="AG34" s="604"/>
      <c r="AH34" s="604"/>
      <c r="AI34" s="604"/>
      <c r="AJ34" s="604"/>
      <c r="AK34" s="604"/>
      <c r="AL34" s="604"/>
      <c r="AM34" s="604"/>
      <c r="AN34" s="604"/>
      <c r="AO34" s="604"/>
      <c r="AP34" s="604"/>
      <c r="AQ34" s="604"/>
      <c r="AR34" s="604"/>
      <c r="AS34" s="604"/>
      <c r="AT34" s="604"/>
      <c r="AU34" s="604"/>
      <c r="AV34" s="604"/>
      <c r="AW34" s="604"/>
      <c r="AX34" s="604"/>
      <c r="AY34" s="604"/>
      <c r="AZ34" s="604"/>
      <c r="BA34" s="604"/>
      <c r="BB34" s="604"/>
      <c r="BC34" s="604"/>
      <c r="BD34" s="604"/>
      <c r="BE34" s="604"/>
      <c r="BF34" s="604"/>
      <c r="BG34" s="604"/>
      <c r="BH34" s="604"/>
      <c r="BI34" s="604"/>
      <c r="BJ34" s="604"/>
      <c r="BK34" s="604"/>
      <c r="BL34" s="604"/>
      <c r="BM34" s="604"/>
      <c r="BN34" s="604"/>
      <c r="BO34" s="604"/>
      <c r="BP34" s="604"/>
      <c r="BQ34" s="604"/>
      <c r="BR34" s="604"/>
      <c r="BS34" s="604"/>
      <c r="BT34" s="604"/>
      <c r="BU34" s="604"/>
      <c r="BV34" s="604"/>
      <c r="BW34" s="604"/>
      <c r="BX34" s="604"/>
      <c r="BY34" s="604"/>
      <c r="BZ34" s="604"/>
      <c r="CA34" s="604"/>
      <c r="CB34" s="604"/>
      <c r="CC34" s="604"/>
      <c r="CD34" s="604"/>
      <c r="CE34" s="604"/>
      <c r="CF34" s="604"/>
      <c r="CG34" s="604"/>
      <c r="CH34" s="604"/>
      <c r="CI34" s="604"/>
      <c r="CJ34" s="604"/>
      <c r="CK34" s="604"/>
      <c r="CL34" s="604"/>
      <c r="CM34" s="604"/>
      <c r="CN34" s="604"/>
      <c r="CO34" s="604"/>
      <c r="CP34" s="604"/>
      <c r="CQ34" s="604"/>
      <c r="CR34" s="604"/>
      <c r="CS34" s="604"/>
      <c r="CT34" s="604"/>
      <c r="CU34" s="604"/>
      <c r="CV34" s="604"/>
      <c r="CW34" s="604"/>
      <c r="CX34" s="604"/>
      <c r="CY34" s="604"/>
      <c r="CZ34" s="604"/>
      <c r="DA34" s="604"/>
      <c r="DB34" s="604"/>
      <c r="DC34" s="604"/>
      <c r="DD34" s="604"/>
      <c r="DE34" s="604"/>
      <c r="DF34" s="604"/>
      <c r="DG34" s="604"/>
      <c r="DH34" s="604"/>
      <c r="DI34" s="604"/>
      <c r="DJ34" s="604"/>
      <c r="DK34" s="604"/>
      <c r="DL34" s="604"/>
      <c r="DM34" s="604"/>
      <c r="DN34" s="604"/>
      <c r="DO34" s="604"/>
      <c r="DP34" s="604"/>
      <c r="DQ34" s="604"/>
      <c r="DR34" s="604"/>
      <c r="DS34" s="604"/>
      <c r="DT34" s="604"/>
      <c r="DU34" s="604"/>
      <c r="DV34" s="604"/>
      <c r="DW34" s="604"/>
      <c r="DX34" s="604"/>
      <c r="DY34" s="604"/>
      <c r="DZ34" s="604"/>
      <c r="EA34" s="604"/>
      <c r="EB34" s="604"/>
      <c r="EC34" s="604"/>
      <c r="ED34" s="604"/>
      <c r="EE34" s="604"/>
      <c r="EF34" s="604"/>
      <c r="EG34" s="604"/>
      <c r="EH34" s="604"/>
      <c r="EI34" s="604"/>
      <c r="EJ34" s="604"/>
      <c r="EK34" s="604"/>
      <c r="EL34" s="604"/>
      <c r="EM34" s="604"/>
      <c r="EN34" s="604"/>
      <c r="EO34" s="604"/>
      <c r="EP34" s="604"/>
      <c r="EQ34" s="604"/>
      <c r="ER34" s="604"/>
      <c r="ES34" s="604"/>
      <c r="ET34" s="604"/>
      <c r="EU34" s="604"/>
      <c r="EV34" s="604"/>
      <c r="EW34" s="604"/>
      <c r="EX34" s="604"/>
      <c r="EY34" s="604"/>
      <c r="EZ34" s="604"/>
      <c r="FA34" s="604"/>
      <c r="FB34" s="604"/>
      <c r="FC34" s="604"/>
      <c r="FD34" s="604"/>
      <c r="FE34" s="604"/>
      <c r="FF34" s="604"/>
      <c r="FG34" s="604"/>
      <c r="FH34" s="604"/>
      <c r="FI34" s="604"/>
      <c r="FJ34" s="604"/>
      <c r="FK34" s="604"/>
      <c r="FL34" s="604"/>
      <c r="FM34" s="604"/>
      <c r="FN34" s="604"/>
      <c r="FO34" s="604"/>
      <c r="FP34" s="604"/>
      <c r="FQ34" s="604"/>
      <c r="FR34" s="604"/>
      <c r="FS34" s="604"/>
      <c r="FT34" s="604"/>
      <c r="FU34" s="604"/>
      <c r="FV34" s="604"/>
      <c r="FW34" s="604"/>
      <c r="FX34" s="604"/>
      <c r="FY34" s="604"/>
      <c r="FZ34" s="604"/>
      <c r="GA34" s="604"/>
      <c r="GB34" s="604"/>
      <c r="GC34" s="604"/>
      <c r="GD34" s="604"/>
      <c r="GE34" s="604"/>
      <c r="GF34" s="604"/>
      <c r="GG34" s="604"/>
      <c r="GH34" s="604"/>
      <c r="GI34" s="604"/>
      <c r="GJ34" s="604"/>
      <c r="GK34" s="604"/>
      <c r="GL34" s="604"/>
      <c r="GM34" s="604"/>
      <c r="GN34" s="604"/>
      <c r="GO34" s="604"/>
      <c r="GP34" s="604"/>
      <c r="GQ34" s="604"/>
      <c r="GR34" s="604"/>
      <c r="GS34" s="604"/>
      <c r="GT34" s="604"/>
      <c r="GU34" s="604"/>
      <c r="GV34" s="604"/>
      <c r="GW34" s="604"/>
      <c r="GX34" s="604"/>
      <c r="GY34" s="604"/>
      <c r="GZ34" s="604"/>
      <c r="HA34" s="604"/>
      <c r="HB34" s="604"/>
      <c r="HC34" s="604"/>
      <c r="HD34" s="604"/>
      <c r="HE34" s="604"/>
      <c r="HF34" s="604"/>
      <c r="HG34" s="604"/>
      <c r="HH34" s="604"/>
      <c r="HI34" s="604"/>
      <c r="HJ34" s="604"/>
      <c r="HK34" s="604"/>
      <c r="HL34" s="604"/>
      <c r="HM34" s="604"/>
      <c r="HN34" s="604"/>
      <c r="HO34" s="604"/>
      <c r="HP34" s="604"/>
      <c r="HQ34" s="604"/>
      <c r="HR34" s="604"/>
      <c r="HS34" s="604"/>
      <c r="HT34" s="604"/>
      <c r="HU34" s="604"/>
      <c r="HV34" s="604"/>
      <c r="HW34" s="604"/>
      <c r="HX34" s="604"/>
      <c r="HY34" s="604"/>
      <c r="HZ34" s="604"/>
      <c r="IA34" s="604"/>
      <c r="IB34" s="604"/>
      <c r="IC34" s="604"/>
      <c r="ID34" s="604"/>
      <c r="IE34" s="604"/>
      <c r="IF34" s="604"/>
      <c r="IG34" s="604"/>
      <c r="IH34" s="604"/>
      <c r="II34" s="604"/>
      <c r="IJ34" s="604"/>
      <c r="IK34" s="604"/>
      <c r="IL34" s="604"/>
      <c r="IM34" s="604"/>
      <c r="IN34" s="604"/>
      <c r="IO34" s="604"/>
      <c r="IP34" s="604"/>
      <c r="IQ34" s="604"/>
      <c r="IR34" s="604"/>
      <c r="IS34" s="604"/>
      <c r="IT34" s="604"/>
      <c r="IU34" s="604"/>
      <c r="IV34" s="604"/>
    </row>
    <row r="35" spans="1:256" ht="21.6" thickBot="1">
      <c r="A35" s="661">
        <f t="shared" si="3"/>
        <v>5</v>
      </c>
      <c r="B35" s="666" t="s">
        <v>72</v>
      </c>
      <c r="C35" s="663">
        <v>0</v>
      </c>
      <c r="D35" s="838">
        <v>0</v>
      </c>
      <c r="E35" s="841"/>
      <c r="F35" s="667">
        <f t="shared" si="4"/>
        <v>0</v>
      </c>
      <c r="G35" s="665">
        <f t="shared" si="5"/>
        <v>0</v>
      </c>
      <c r="H35" s="831"/>
      <c r="I35" s="833"/>
      <c r="J35" s="604"/>
      <c r="K35" s="604"/>
      <c r="L35" s="604"/>
      <c r="M35" s="604"/>
      <c r="N35" s="604"/>
      <c r="O35" s="604"/>
      <c r="P35" s="604"/>
      <c r="Q35" s="604"/>
      <c r="R35" s="604"/>
      <c r="S35" s="604"/>
      <c r="T35" s="604"/>
      <c r="U35" s="604"/>
      <c r="V35" s="604"/>
      <c r="W35" s="604"/>
      <c r="X35" s="604"/>
      <c r="Y35" s="604"/>
      <c r="Z35" s="604"/>
      <c r="AA35" s="604"/>
      <c r="AB35" s="604"/>
      <c r="AC35" s="604"/>
      <c r="AD35" s="604"/>
      <c r="AE35" s="604"/>
      <c r="AF35" s="604"/>
      <c r="AG35" s="604"/>
      <c r="AH35" s="604"/>
      <c r="AI35" s="604"/>
      <c r="AJ35" s="604"/>
      <c r="AK35" s="604"/>
      <c r="AL35" s="604"/>
      <c r="AM35" s="604"/>
      <c r="AN35" s="604"/>
      <c r="AO35" s="604"/>
      <c r="AP35" s="604"/>
      <c r="AQ35" s="604"/>
      <c r="AR35" s="604"/>
      <c r="AS35" s="604"/>
      <c r="AT35" s="604"/>
      <c r="AU35" s="604"/>
      <c r="AV35" s="604"/>
      <c r="AW35" s="604"/>
      <c r="AX35" s="604"/>
      <c r="AY35" s="604"/>
      <c r="AZ35" s="604"/>
      <c r="BA35" s="604"/>
      <c r="BB35" s="604"/>
      <c r="BC35" s="604"/>
      <c r="BD35" s="604"/>
      <c r="BE35" s="604"/>
      <c r="BF35" s="604"/>
      <c r="BG35" s="604"/>
      <c r="BH35" s="604"/>
      <c r="BI35" s="604"/>
      <c r="BJ35" s="604"/>
      <c r="BK35" s="604"/>
      <c r="BL35" s="604"/>
      <c r="BM35" s="604"/>
      <c r="BN35" s="604"/>
      <c r="BO35" s="604"/>
      <c r="BP35" s="604"/>
      <c r="BQ35" s="604"/>
      <c r="BR35" s="604"/>
      <c r="BS35" s="604"/>
      <c r="BT35" s="604"/>
      <c r="BU35" s="604"/>
      <c r="BV35" s="604"/>
      <c r="BW35" s="604"/>
      <c r="BX35" s="604"/>
      <c r="BY35" s="604"/>
      <c r="BZ35" s="604"/>
      <c r="CA35" s="604"/>
      <c r="CB35" s="604"/>
      <c r="CC35" s="604"/>
      <c r="CD35" s="604"/>
      <c r="CE35" s="604"/>
      <c r="CF35" s="604"/>
      <c r="CG35" s="604"/>
      <c r="CH35" s="604"/>
      <c r="CI35" s="604"/>
      <c r="CJ35" s="604"/>
      <c r="CK35" s="604"/>
      <c r="CL35" s="604"/>
      <c r="CM35" s="604"/>
      <c r="CN35" s="604"/>
      <c r="CO35" s="604"/>
      <c r="CP35" s="604"/>
      <c r="CQ35" s="604"/>
      <c r="CR35" s="604"/>
      <c r="CS35" s="604"/>
      <c r="CT35" s="604"/>
      <c r="CU35" s="604"/>
      <c r="CV35" s="604"/>
      <c r="CW35" s="604"/>
      <c r="CX35" s="604"/>
      <c r="CY35" s="604"/>
      <c r="CZ35" s="604"/>
      <c r="DA35" s="604"/>
      <c r="DB35" s="604"/>
      <c r="DC35" s="604"/>
      <c r="DD35" s="604"/>
      <c r="DE35" s="604"/>
      <c r="DF35" s="604"/>
      <c r="DG35" s="604"/>
      <c r="DH35" s="604"/>
      <c r="DI35" s="604"/>
      <c r="DJ35" s="604"/>
      <c r="DK35" s="604"/>
      <c r="DL35" s="604"/>
      <c r="DM35" s="604"/>
      <c r="DN35" s="604"/>
      <c r="DO35" s="604"/>
      <c r="DP35" s="604"/>
      <c r="DQ35" s="604"/>
      <c r="DR35" s="604"/>
      <c r="DS35" s="604"/>
      <c r="DT35" s="604"/>
      <c r="DU35" s="604"/>
      <c r="DV35" s="604"/>
      <c r="DW35" s="604"/>
      <c r="DX35" s="604"/>
      <c r="DY35" s="604"/>
      <c r="DZ35" s="604"/>
      <c r="EA35" s="604"/>
      <c r="EB35" s="604"/>
      <c r="EC35" s="604"/>
      <c r="ED35" s="604"/>
      <c r="EE35" s="604"/>
      <c r="EF35" s="604"/>
      <c r="EG35" s="604"/>
      <c r="EH35" s="604"/>
      <c r="EI35" s="604"/>
      <c r="EJ35" s="604"/>
      <c r="EK35" s="604"/>
      <c r="EL35" s="604"/>
      <c r="EM35" s="604"/>
      <c r="EN35" s="604"/>
      <c r="EO35" s="604"/>
      <c r="EP35" s="604"/>
      <c r="EQ35" s="604"/>
      <c r="ER35" s="604"/>
      <c r="ES35" s="604"/>
      <c r="ET35" s="604"/>
      <c r="EU35" s="604"/>
      <c r="EV35" s="604"/>
      <c r="EW35" s="604"/>
      <c r="EX35" s="604"/>
      <c r="EY35" s="604"/>
      <c r="EZ35" s="604"/>
      <c r="FA35" s="604"/>
      <c r="FB35" s="604"/>
      <c r="FC35" s="604"/>
      <c r="FD35" s="604"/>
      <c r="FE35" s="604"/>
      <c r="FF35" s="604"/>
      <c r="FG35" s="604"/>
      <c r="FH35" s="604"/>
      <c r="FI35" s="604"/>
      <c r="FJ35" s="604"/>
      <c r="FK35" s="604"/>
      <c r="FL35" s="604"/>
      <c r="FM35" s="604"/>
      <c r="FN35" s="604"/>
      <c r="FO35" s="604"/>
      <c r="FP35" s="604"/>
      <c r="FQ35" s="604"/>
      <c r="FR35" s="604"/>
      <c r="FS35" s="604"/>
      <c r="FT35" s="604"/>
      <c r="FU35" s="604"/>
      <c r="FV35" s="604"/>
      <c r="FW35" s="604"/>
      <c r="FX35" s="604"/>
      <c r="FY35" s="604"/>
      <c r="FZ35" s="604"/>
      <c r="GA35" s="604"/>
      <c r="GB35" s="604"/>
      <c r="GC35" s="604"/>
      <c r="GD35" s="604"/>
      <c r="GE35" s="604"/>
      <c r="GF35" s="604"/>
      <c r="GG35" s="604"/>
      <c r="GH35" s="604"/>
      <c r="GI35" s="604"/>
      <c r="GJ35" s="604"/>
      <c r="GK35" s="604"/>
      <c r="GL35" s="604"/>
      <c r="GM35" s="604"/>
      <c r="GN35" s="604"/>
      <c r="GO35" s="604"/>
      <c r="GP35" s="604"/>
      <c r="GQ35" s="604"/>
      <c r="GR35" s="604"/>
      <c r="GS35" s="604"/>
      <c r="GT35" s="604"/>
      <c r="GU35" s="604"/>
      <c r="GV35" s="604"/>
      <c r="GW35" s="604"/>
      <c r="GX35" s="604"/>
      <c r="GY35" s="604"/>
      <c r="GZ35" s="604"/>
      <c r="HA35" s="604"/>
      <c r="HB35" s="604"/>
      <c r="HC35" s="604"/>
      <c r="HD35" s="604"/>
      <c r="HE35" s="604"/>
      <c r="HF35" s="604"/>
      <c r="HG35" s="604"/>
      <c r="HH35" s="604"/>
      <c r="HI35" s="604"/>
      <c r="HJ35" s="604"/>
      <c r="HK35" s="604"/>
      <c r="HL35" s="604"/>
      <c r="HM35" s="604"/>
      <c r="HN35" s="604"/>
      <c r="HO35" s="604"/>
      <c r="HP35" s="604"/>
      <c r="HQ35" s="604"/>
      <c r="HR35" s="604"/>
      <c r="HS35" s="604"/>
      <c r="HT35" s="604"/>
      <c r="HU35" s="604"/>
      <c r="HV35" s="604"/>
      <c r="HW35" s="604"/>
      <c r="HX35" s="604"/>
      <c r="HY35" s="604"/>
      <c r="HZ35" s="604"/>
      <c r="IA35" s="604"/>
      <c r="IB35" s="604"/>
      <c r="IC35" s="604"/>
      <c r="ID35" s="604"/>
      <c r="IE35" s="604"/>
      <c r="IF35" s="604"/>
      <c r="IG35" s="604"/>
      <c r="IH35" s="604"/>
      <c r="II35" s="604"/>
      <c r="IJ35" s="604"/>
      <c r="IK35" s="604"/>
      <c r="IL35" s="604"/>
      <c r="IM35" s="604"/>
      <c r="IN35" s="604"/>
      <c r="IO35" s="604"/>
      <c r="IP35" s="604"/>
      <c r="IQ35" s="604"/>
      <c r="IR35" s="604"/>
      <c r="IS35" s="604"/>
      <c r="IT35" s="604"/>
      <c r="IU35" s="604"/>
      <c r="IV35" s="604"/>
    </row>
    <row r="36" spans="1:256" ht="41.4" thickBot="1">
      <c r="A36" s="661">
        <f t="shared" si="3"/>
        <v>6</v>
      </c>
      <c r="B36" s="666" t="s">
        <v>539</v>
      </c>
      <c r="C36" s="663">
        <f>O25</f>
        <v>0</v>
      </c>
      <c r="D36" s="844">
        <f>capcost!D108</f>
        <v>0.43395804428571433</v>
      </c>
      <c r="E36" s="845"/>
      <c r="F36" s="667">
        <f t="shared" si="4"/>
        <v>0</v>
      </c>
      <c r="G36" s="665">
        <f>D36</f>
        <v>0.43395804428571433</v>
      </c>
      <c r="H36" s="846" t="s">
        <v>540</v>
      </c>
      <c r="I36" s="847"/>
      <c r="J36" s="604"/>
      <c r="K36" s="604"/>
      <c r="L36" s="604"/>
      <c r="M36" s="604"/>
      <c r="N36" s="604"/>
      <c r="O36" s="604"/>
      <c r="P36" s="604"/>
      <c r="Q36" s="604"/>
      <c r="R36" s="604"/>
      <c r="S36" s="604"/>
      <c r="T36" s="604"/>
      <c r="U36" s="604"/>
      <c r="V36" s="604"/>
      <c r="W36" s="604"/>
      <c r="X36" s="604"/>
      <c r="Y36" s="604"/>
      <c r="Z36" s="604"/>
      <c r="AA36" s="604"/>
      <c r="AB36" s="604"/>
      <c r="AC36" s="604"/>
      <c r="AD36" s="604"/>
      <c r="AE36" s="604"/>
      <c r="AF36" s="604"/>
      <c r="AG36" s="604"/>
      <c r="AH36" s="604"/>
      <c r="AI36" s="604"/>
      <c r="AJ36" s="604"/>
      <c r="AK36" s="604"/>
      <c r="AL36" s="604"/>
      <c r="AM36" s="604"/>
      <c r="AN36" s="604"/>
      <c r="AO36" s="604"/>
      <c r="AP36" s="604"/>
      <c r="AQ36" s="604"/>
      <c r="AR36" s="604"/>
      <c r="AS36" s="604"/>
      <c r="AT36" s="604"/>
      <c r="AU36" s="604"/>
      <c r="AV36" s="604"/>
      <c r="AW36" s="604"/>
      <c r="AX36" s="604"/>
      <c r="AY36" s="604"/>
      <c r="AZ36" s="604"/>
      <c r="BA36" s="604"/>
      <c r="BB36" s="604"/>
      <c r="BC36" s="604"/>
      <c r="BD36" s="604"/>
      <c r="BE36" s="604"/>
      <c r="BF36" s="604"/>
      <c r="BG36" s="604"/>
      <c r="BH36" s="604"/>
      <c r="BI36" s="604"/>
      <c r="BJ36" s="604"/>
      <c r="BK36" s="604"/>
      <c r="BL36" s="604"/>
      <c r="BM36" s="604"/>
      <c r="BN36" s="604"/>
      <c r="BO36" s="604"/>
      <c r="BP36" s="604"/>
      <c r="BQ36" s="604"/>
      <c r="BR36" s="604"/>
      <c r="BS36" s="604"/>
      <c r="BT36" s="604"/>
      <c r="BU36" s="604"/>
      <c r="BV36" s="604"/>
      <c r="BW36" s="604"/>
      <c r="BX36" s="604"/>
      <c r="BY36" s="604"/>
      <c r="BZ36" s="604"/>
      <c r="CA36" s="604"/>
      <c r="CB36" s="604"/>
      <c r="CC36" s="604"/>
      <c r="CD36" s="604"/>
      <c r="CE36" s="604"/>
      <c r="CF36" s="604"/>
      <c r="CG36" s="604"/>
      <c r="CH36" s="604"/>
      <c r="CI36" s="604"/>
      <c r="CJ36" s="604"/>
      <c r="CK36" s="604"/>
      <c r="CL36" s="604"/>
      <c r="CM36" s="604"/>
      <c r="CN36" s="604"/>
      <c r="CO36" s="604"/>
      <c r="CP36" s="604"/>
      <c r="CQ36" s="604"/>
      <c r="CR36" s="604"/>
      <c r="CS36" s="604"/>
      <c r="CT36" s="604"/>
      <c r="CU36" s="604"/>
      <c r="CV36" s="604"/>
      <c r="CW36" s="604"/>
      <c r="CX36" s="604"/>
      <c r="CY36" s="604"/>
      <c r="CZ36" s="604"/>
      <c r="DA36" s="604"/>
      <c r="DB36" s="604"/>
      <c r="DC36" s="604"/>
      <c r="DD36" s="604"/>
      <c r="DE36" s="604"/>
      <c r="DF36" s="604"/>
      <c r="DG36" s="604"/>
      <c r="DH36" s="604"/>
      <c r="DI36" s="604"/>
      <c r="DJ36" s="604"/>
      <c r="DK36" s="604"/>
      <c r="DL36" s="604"/>
      <c r="DM36" s="604"/>
      <c r="DN36" s="604"/>
      <c r="DO36" s="604"/>
      <c r="DP36" s="604"/>
      <c r="DQ36" s="604"/>
      <c r="DR36" s="604"/>
      <c r="DS36" s="604"/>
      <c r="DT36" s="604"/>
      <c r="DU36" s="604"/>
      <c r="DV36" s="604"/>
      <c r="DW36" s="604"/>
      <c r="DX36" s="604"/>
      <c r="DY36" s="604"/>
      <c r="DZ36" s="604"/>
      <c r="EA36" s="604"/>
      <c r="EB36" s="604"/>
      <c r="EC36" s="604"/>
      <c r="ED36" s="604"/>
      <c r="EE36" s="604"/>
      <c r="EF36" s="604"/>
      <c r="EG36" s="604"/>
      <c r="EH36" s="604"/>
      <c r="EI36" s="604"/>
      <c r="EJ36" s="604"/>
      <c r="EK36" s="604"/>
      <c r="EL36" s="604"/>
      <c r="EM36" s="604"/>
      <c r="EN36" s="604"/>
      <c r="EO36" s="604"/>
      <c r="EP36" s="604"/>
      <c r="EQ36" s="604"/>
      <c r="ER36" s="604"/>
      <c r="ES36" s="604"/>
      <c r="ET36" s="604"/>
      <c r="EU36" s="604"/>
      <c r="EV36" s="604"/>
      <c r="EW36" s="604"/>
      <c r="EX36" s="604"/>
      <c r="EY36" s="604"/>
      <c r="EZ36" s="604"/>
      <c r="FA36" s="604"/>
      <c r="FB36" s="604"/>
      <c r="FC36" s="604"/>
      <c r="FD36" s="604"/>
      <c r="FE36" s="604"/>
      <c r="FF36" s="604"/>
      <c r="FG36" s="604"/>
      <c r="FH36" s="604"/>
      <c r="FI36" s="604"/>
      <c r="FJ36" s="604"/>
      <c r="FK36" s="604"/>
      <c r="FL36" s="604"/>
      <c r="FM36" s="604"/>
      <c r="FN36" s="604"/>
      <c r="FO36" s="604"/>
      <c r="FP36" s="604"/>
      <c r="FQ36" s="604"/>
      <c r="FR36" s="604"/>
      <c r="FS36" s="604"/>
      <c r="FT36" s="604"/>
      <c r="FU36" s="604"/>
      <c r="FV36" s="604"/>
      <c r="FW36" s="604"/>
      <c r="FX36" s="604"/>
      <c r="FY36" s="604"/>
      <c r="FZ36" s="604"/>
      <c r="GA36" s="604"/>
      <c r="GB36" s="604"/>
      <c r="GC36" s="604"/>
      <c r="GD36" s="604"/>
      <c r="GE36" s="604"/>
      <c r="GF36" s="604"/>
      <c r="GG36" s="604"/>
      <c r="GH36" s="604"/>
      <c r="GI36" s="604"/>
      <c r="GJ36" s="604"/>
      <c r="GK36" s="604"/>
      <c r="GL36" s="604"/>
      <c r="GM36" s="604"/>
      <c r="GN36" s="604"/>
      <c r="GO36" s="604"/>
      <c r="GP36" s="604"/>
      <c r="GQ36" s="604"/>
      <c r="GR36" s="604"/>
      <c r="GS36" s="604"/>
      <c r="GT36" s="604"/>
      <c r="GU36" s="604"/>
      <c r="GV36" s="604"/>
      <c r="GW36" s="604"/>
      <c r="GX36" s="604"/>
      <c r="GY36" s="604"/>
      <c r="GZ36" s="604"/>
      <c r="HA36" s="604"/>
      <c r="HB36" s="604"/>
      <c r="HC36" s="604"/>
      <c r="HD36" s="604"/>
      <c r="HE36" s="604"/>
      <c r="HF36" s="604"/>
      <c r="HG36" s="604"/>
      <c r="HH36" s="604"/>
      <c r="HI36" s="604"/>
      <c r="HJ36" s="604"/>
      <c r="HK36" s="604"/>
      <c r="HL36" s="604"/>
      <c r="HM36" s="604"/>
      <c r="HN36" s="604"/>
      <c r="HO36" s="604"/>
      <c r="HP36" s="604"/>
      <c r="HQ36" s="604"/>
      <c r="HR36" s="604"/>
      <c r="HS36" s="604"/>
      <c r="HT36" s="604"/>
      <c r="HU36" s="604"/>
      <c r="HV36" s="604"/>
      <c r="HW36" s="604"/>
      <c r="HX36" s="604"/>
      <c r="HY36" s="604"/>
      <c r="HZ36" s="604"/>
      <c r="IA36" s="604"/>
      <c r="IB36" s="604"/>
      <c r="IC36" s="604"/>
      <c r="ID36" s="604"/>
      <c r="IE36" s="604"/>
      <c r="IF36" s="604"/>
      <c r="IG36" s="604"/>
      <c r="IH36" s="604"/>
      <c r="II36" s="604"/>
      <c r="IJ36" s="604"/>
      <c r="IK36" s="604"/>
      <c r="IL36" s="604"/>
      <c r="IM36" s="604"/>
      <c r="IN36" s="604"/>
      <c r="IO36" s="604"/>
      <c r="IP36" s="604"/>
      <c r="IQ36" s="604"/>
      <c r="IR36" s="604"/>
      <c r="IS36" s="604"/>
      <c r="IT36" s="604"/>
      <c r="IU36" s="604"/>
      <c r="IV36" s="604"/>
    </row>
    <row r="37" spans="1:256" ht="66.75" customHeight="1" thickBot="1">
      <c r="A37" s="661">
        <f t="shared" si="3"/>
        <v>7</v>
      </c>
      <c r="B37" s="670" t="s">
        <v>541</v>
      </c>
      <c r="C37" s="663">
        <f>O26</f>
        <v>0</v>
      </c>
      <c r="D37" s="838">
        <f>capcost!D109</f>
        <v>0.84738724413043487</v>
      </c>
      <c r="E37" s="841"/>
      <c r="F37" s="667">
        <f t="shared" si="4"/>
        <v>0</v>
      </c>
      <c r="G37" s="665">
        <f>D37</f>
        <v>0.84738724413043487</v>
      </c>
      <c r="H37" s="846" t="s">
        <v>590</v>
      </c>
      <c r="I37" s="847"/>
      <c r="J37" s="604"/>
      <c r="K37" s="604"/>
      <c r="L37" s="604"/>
      <c r="M37" s="604"/>
      <c r="N37" s="604"/>
      <c r="O37" s="604"/>
      <c r="P37" s="604"/>
      <c r="Q37" s="604"/>
      <c r="R37" s="604"/>
      <c r="S37" s="604"/>
      <c r="T37" s="604"/>
      <c r="U37" s="604"/>
      <c r="V37" s="604"/>
      <c r="W37" s="604"/>
      <c r="X37" s="604"/>
      <c r="Y37" s="604"/>
      <c r="Z37" s="604"/>
      <c r="AA37" s="604"/>
      <c r="AB37" s="604"/>
      <c r="AC37" s="604"/>
      <c r="AD37" s="604"/>
      <c r="AE37" s="604"/>
      <c r="AF37" s="604"/>
      <c r="AG37" s="604"/>
      <c r="AH37" s="604"/>
      <c r="AI37" s="604"/>
      <c r="AJ37" s="604"/>
      <c r="AK37" s="604"/>
      <c r="AL37" s="604"/>
      <c r="AM37" s="604"/>
      <c r="AN37" s="604"/>
      <c r="AO37" s="604"/>
      <c r="AP37" s="604"/>
      <c r="AQ37" s="604"/>
      <c r="AR37" s="604"/>
      <c r="AS37" s="604"/>
      <c r="AT37" s="604"/>
      <c r="AU37" s="604"/>
      <c r="AV37" s="604"/>
      <c r="AW37" s="604"/>
      <c r="AX37" s="604"/>
      <c r="AY37" s="604"/>
      <c r="AZ37" s="604"/>
      <c r="BA37" s="604"/>
      <c r="BB37" s="604"/>
      <c r="BC37" s="604"/>
      <c r="BD37" s="604"/>
      <c r="BE37" s="604"/>
      <c r="BF37" s="604"/>
      <c r="BG37" s="604"/>
      <c r="BH37" s="604"/>
      <c r="BI37" s="604"/>
      <c r="BJ37" s="604"/>
      <c r="BK37" s="604"/>
      <c r="BL37" s="604"/>
      <c r="BM37" s="604"/>
      <c r="BN37" s="604"/>
      <c r="BO37" s="604"/>
      <c r="BP37" s="604"/>
      <c r="BQ37" s="604"/>
      <c r="BR37" s="604"/>
      <c r="BS37" s="604"/>
      <c r="BT37" s="604"/>
      <c r="BU37" s="604"/>
      <c r="BV37" s="604"/>
      <c r="BW37" s="604"/>
      <c r="BX37" s="604"/>
      <c r="BY37" s="604"/>
      <c r="BZ37" s="604"/>
      <c r="CA37" s="604"/>
      <c r="CB37" s="604"/>
      <c r="CC37" s="604"/>
      <c r="CD37" s="604"/>
      <c r="CE37" s="604"/>
      <c r="CF37" s="604"/>
      <c r="CG37" s="604"/>
      <c r="CH37" s="604"/>
      <c r="CI37" s="604"/>
      <c r="CJ37" s="604"/>
      <c r="CK37" s="604"/>
      <c r="CL37" s="604"/>
      <c r="CM37" s="604"/>
      <c r="CN37" s="604"/>
      <c r="CO37" s="604"/>
      <c r="CP37" s="604"/>
      <c r="CQ37" s="604"/>
      <c r="CR37" s="604"/>
      <c r="CS37" s="604"/>
      <c r="CT37" s="604"/>
      <c r="CU37" s="604"/>
      <c r="CV37" s="604"/>
      <c r="CW37" s="604"/>
      <c r="CX37" s="604"/>
      <c r="CY37" s="604"/>
      <c r="CZ37" s="604"/>
      <c r="DA37" s="604"/>
      <c r="DB37" s="604"/>
      <c r="DC37" s="604"/>
      <c r="DD37" s="604"/>
      <c r="DE37" s="604"/>
      <c r="DF37" s="604"/>
      <c r="DG37" s="604"/>
      <c r="DH37" s="604"/>
      <c r="DI37" s="604"/>
      <c r="DJ37" s="604"/>
      <c r="DK37" s="604"/>
      <c r="DL37" s="604"/>
      <c r="DM37" s="604"/>
      <c r="DN37" s="604"/>
      <c r="DO37" s="604"/>
      <c r="DP37" s="604"/>
      <c r="DQ37" s="604"/>
      <c r="DR37" s="604"/>
      <c r="DS37" s="604"/>
      <c r="DT37" s="604"/>
      <c r="DU37" s="604"/>
      <c r="DV37" s="604"/>
      <c r="DW37" s="604"/>
      <c r="DX37" s="604"/>
      <c r="DY37" s="604"/>
      <c r="DZ37" s="604"/>
      <c r="EA37" s="604"/>
      <c r="EB37" s="604"/>
      <c r="EC37" s="604"/>
      <c r="ED37" s="604"/>
      <c r="EE37" s="604"/>
      <c r="EF37" s="604"/>
      <c r="EG37" s="604"/>
      <c r="EH37" s="604"/>
      <c r="EI37" s="604"/>
      <c r="EJ37" s="604"/>
      <c r="EK37" s="604"/>
      <c r="EL37" s="604"/>
      <c r="EM37" s="604"/>
      <c r="EN37" s="604"/>
      <c r="EO37" s="604"/>
      <c r="EP37" s="604"/>
      <c r="EQ37" s="604"/>
      <c r="ER37" s="604"/>
      <c r="ES37" s="604"/>
      <c r="ET37" s="604"/>
      <c r="EU37" s="604"/>
      <c r="EV37" s="604"/>
      <c r="EW37" s="604"/>
      <c r="EX37" s="604"/>
      <c r="EY37" s="604"/>
      <c r="EZ37" s="604"/>
      <c r="FA37" s="604"/>
      <c r="FB37" s="604"/>
      <c r="FC37" s="604"/>
      <c r="FD37" s="604"/>
      <c r="FE37" s="604"/>
      <c r="FF37" s="604"/>
      <c r="FG37" s="604"/>
      <c r="FH37" s="604"/>
      <c r="FI37" s="604"/>
      <c r="FJ37" s="604"/>
      <c r="FK37" s="604"/>
      <c r="FL37" s="604"/>
      <c r="FM37" s="604"/>
      <c r="FN37" s="604"/>
      <c r="FO37" s="604"/>
      <c r="FP37" s="604"/>
      <c r="FQ37" s="604"/>
      <c r="FR37" s="604"/>
      <c r="FS37" s="604"/>
      <c r="FT37" s="604"/>
      <c r="FU37" s="604"/>
      <c r="FV37" s="604"/>
      <c r="FW37" s="604"/>
      <c r="FX37" s="604"/>
      <c r="FY37" s="604"/>
      <c r="FZ37" s="604"/>
      <c r="GA37" s="604"/>
      <c r="GB37" s="604"/>
      <c r="GC37" s="604"/>
      <c r="GD37" s="604"/>
      <c r="GE37" s="604"/>
      <c r="GF37" s="604"/>
      <c r="GG37" s="604"/>
      <c r="GH37" s="604"/>
      <c r="GI37" s="604"/>
      <c r="GJ37" s="604"/>
      <c r="GK37" s="604"/>
      <c r="GL37" s="604"/>
      <c r="GM37" s="604"/>
      <c r="GN37" s="604"/>
      <c r="GO37" s="604"/>
      <c r="GP37" s="604"/>
      <c r="GQ37" s="604"/>
      <c r="GR37" s="604"/>
      <c r="GS37" s="604"/>
      <c r="GT37" s="604"/>
      <c r="GU37" s="604"/>
      <c r="GV37" s="604"/>
      <c r="GW37" s="604"/>
      <c r="GX37" s="604"/>
      <c r="GY37" s="604"/>
      <c r="GZ37" s="604"/>
      <c r="HA37" s="604"/>
      <c r="HB37" s="604"/>
      <c r="HC37" s="604"/>
      <c r="HD37" s="604"/>
      <c r="HE37" s="604"/>
      <c r="HF37" s="604"/>
      <c r="HG37" s="604"/>
      <c r="HH37" s="604"/>
      <c r="HI37" s="604"/>
      <c r="HJ37" s="604"/>
      <c r="HK37" s="604"/>
      <c r="HL37" s="604"/>
      <c r="HM37" s="604"/>
      <c r="HN37" s="604"/>
      <c r="HO37" s="604"/>
      <c r="HP37" s="604"/>
      <c r="HQ37" s="604"/>
      <c r="HR37" s="604"/>
      <c r="HS37" s="604"/>
      <c r="HT37" s="604"/>
      <c r="HU37" s="604"/>
      <c r="HV37" s="604"/>
      <c r="HW37" s="604"/>
      <c r="HX37" s="604"/>
      <c r="HY37" s="604"/>
      <c r="HZ37" s="604"/>
      <c r="IA37" s="604"/>
      <c r="IB37" s="604"/>
      <c r="IC37" s="604"/>
      <c r="ID37" s="604"/>
      <c r="IE37" s="604"/>
      <c r="IF37" s="604"/>
      <c r="IG37" s="604"/>
      <c r="IH37" s="604"/>
      <c r="II37" s="604"/>
      <c r="IJ37" s="604"/>
      <c r="IK37" s="604"/>
      <c r="IL37" s="604"/>
      <c r="IM37" s="604"/>
      <c r="IN37" s="604"/>
      <c r="IO37" s="604"/>
      <c r="IP37" s="604"/>
      <c r="IQ37" s="604"/>
      <c r="IR37" s="604"/>
      <c r="IS37" s="604"/>
      <c r="IT37" s="604"/>
      <c r="IU37" s="604"/>
      <c r="IV37" s="604"/>
    </row>
    <row r="38" spans="1:256" ht="21.6" thickBot="1">
      <c r="A38" s="661">
        <f t="shared" si="3"/>
        <v>8</v>
      </c>
      <c r="B38" s="671" t="s">
        <v>542</v>
      </c>
      <c r="C38" s="663">
        <f>O28</f>
        <v>0</v>
      </c>
      <c r="D38" s="838">
        <f>capcost!D110+capcost!D111</f>
        <v>0.99972668725155278</v>
      </c>
      <c r="E38" s="841"/>
      <c r="F38" s="667">
        <f t="shared" si="4"/>
        <v>0</v>
      </c>
      <c r="G38" s="665">
        <f>D38</f>
        <v>0.99972668725155278</v>
      </c>
      <c r="H38" s="831"/>
      <c r="I38" s="833"/>
      <c r="J38" s="604"/>
      <c r="K38" s="604"/>
      <c r="L38" s="604"/>
      <c r="M38" s="604"/>
      <c r="N38" s="604"/>
      <c r="O38" s="604"/>
      <c r="P38" s="604"/>
      <c r="Q38" s="604"/>
      <c r="R38" s="604"/>
      <c r="S38" s="604"/>
      <c r="T38" s="604"/>
      <c r="U38" s="604"/>
      <c r="V38" s="604"/>
      <c r="W38" s="604"/>
      <c r="X38" s="604"/>
      <c r="Y38" s="604"/>
      <c r="Z38" s="604"/>
      <c r="AA38" s="604"/>
      <c r="AB38" s="604"/>
      <c r="AC38" s="604"/>
      <c r="AD38" s="604"/>
      <c r="AE38" s="604"/>
      <c r="AF38" s="604"/>
      <c r="AG38" s="604"/>
      <c r="AH38" s="604"/>
      <c r="AI38" s="604"/>
      <c r="AJ38" s="604"/>
      <c r="AK38" s="604"/>
      <c r="AL38" s="604"/>
      <c r="AM38" s="604"/>
      <c r="AN38" s="604"/>
      <c r="AO38" s="604"/>
      <c r="AP38" s="604"/>
      <c r="AQ38" s="604"/>
      <c r="AR38" s="604"/>
      <c r="AS38" s="604"/>
      <c r="AT38" s="604"/>
      <c r="AU38" s="604"/>
      <c r="AV38" s="604"/>
      <c r="AW38" s="604"/>
      <c r="AX38" s="604"/>
      <c r="AY38" s="604"/>
      <c r="AZ38" s="604"/>
      <c r="BA38" s="604"/>
      <c r="BB38" s="604"/>
      <c r="BC38" s="604"/>
      <c r="BD38" s="604"/>
      <c r="BE38" s="604"/>
      <c r="BF38" s="604"/>
      <c r="BG38" s="604"/>
      <c r="BH38" s="604"/>
      <c r="BI38" s="604"/>
      <c r="BJ38" s="604"/>
      <c r="BK38" s="604"/>
      <c r="BL38" s="604"/>
      <c r="BM38" s="604"/>
      <c r="BN38" s="604"/>
      <c r="BO38" s="604"/>
      <c r="BP38" s="604"/>
      <c r="BQ38" s="604"/>
      <c r="BR38" s="604"/>
      <c r="BS38" s="604"/>
      <c r="BT38" s="604"/>
      <c r="BU38" s="604"/>
      <c r="BV38" s="604"/>
      <c r="BW38" s="604"/>
      <c r="BX38" s="604"/>
      <c r="BY38" s="604"/>
      <c r="BZ38" s="604"/>
      <c r="CA38" s="604"/>
      <c r="CB38" s="604"/>
      <c r="CC38" s="604"/>
      <c r="CD38" s="604"/>
      <c r="CE38" s="604"/>
      <c r="CF38" s="604"/>
      <c r="CG38" s="604"/>
      <c r="CH38" s="604"/>
      <c r="CI38" s="604"/>
      <c r="CJ38" s="604"/>
      <c r="CK38" s="604"/>
      <c r="CL38" s="604"/>
      <c r="CM38" s="604"/>
      <c r="CN38" s="604"/>
      <c r="CO38" s="604"/>
      <c r="CP38" s="604"/>
      <c r="CQ38" s="604"/>
      <c r="CR38" s="604"/>
      <c r="CS38" s="604"/>
      <c r="CT38" s="604"/>
      <c r="CU38" s="604"/>
      <c r="CV38" s="604"/>
      <c r="CW38" s="604"/>
      <c r="CX38" s="604"/>
      <c r="CY38" s="604"/>
      <c r="CZ38" s="604"/>
      <c r="DA38" s="604"/>
      <c r="DB38" s="604"/>
      <c r="DC38" s="604"/>
      <c r="DD38" s="604"/>
      <c r="DE38" s="604"/>
      <c r="DF38" s="604"/>
      <c r="DG38" s="604"/>
      <c r="DH38" s="604"/>
      <c r="DI38" s="604"/>
      <c r="DJ38" s="604"/>
      <c r="DK38" s="604"/>
      <c r="DL38" s="604"/>
      <c r="DM38" s="604"/>
      <c r="DN38" s="604"/>
      <c r="DO38" s="604"/>
      <c r="DP38" s="604"/>
      <c r="DQ38" s="604"/>
      <c r="DR38" s="604"/>
      <c r="DS38" s="604"/>
      <c r="DT38" s="604"/>
      <c r="DU38" s="604"/>
      <c r="DV38" s="604"/>
      <c r="DW38" s="604"/>
      <c r="DX38" s="604"/>
      <c r="DY38" s="604"/>
      <c r="DZ38" s="604"/>
      <c r="EA38" s="604"/>
      <c r="EB38" s="604"/>
      <c r="EC38" s="604"/>
      <c r="ED38" s="604"/>
      <c r="EE38" s="604"/>
      <c r="EF38" s="604"/>
      <c r="EG38" s="604"/>
      <c r="EH38" s="604"/>
      <c r="EI38" s="604"/>
      <c r="EJ38" s="604"/>
      <c r="EK38" s="604"/>
      <c r="EL38" s="604"/>
      <c r="EM38" s="604"/>
      <c r="EN38" s="604"/>
      <c r="EO38" s="604"/>
      <c r="EP38" s="604"/>
      <c r="EQ38" s="604"/>
      <c r="ER38" s="604"/>
      <c r="ES38" s="604"/>
      <c r="ET38" s="604"/>
      <c r="EU38" s="604"/>
      <c r="EV38" s="604"/>
      <c r="EW38" s="604"/>
      <c r="EX38" s="604"/>
      <c r="EY38" s="604"/>
      <c r="EZ38" s="604"/>
      <c r="FA38" s="604"/>
      <c r="FB38" s="604"/>
      <c r="FC38" s="604"/>
      <c r="FD38" s="604"/>
      <c r="FE38" s="604"/>
      <c r="FF38" s="604"/>
      <c r="FG38" s="604"/>
      <c r="FH38" s="604"/>
      <c r="FI38" s="604"/>
      <c r="FJ38" s="604"/>
      <c r="FK38" s="604"/>
      <c r="FL38" s="604"/>
      <c r="FM38" s="604"/>
      <c r="FN38" s="604"/>
      <c r="FO38" s="604"/>
      <c r="FP38" s="604"/>
      <c r="FQ38" s="604"/>
      <c r="FR38" s="604"/>
      <c r="FS38" s="604"/>
      <c r="FT38" s="604"/>
      <c r="FU38" s="604"/>
      <c r="FV38" s="604"/>
      <c r="FW38" s="604"/>
      <c r="FX38" s="604"/>
      <c r="FY38" s="604"/>
      <c r="FZ38" s="604"/>
      <c r="GA38" s="604"/>
      <c r="GB38" s="604"/>
      <c r="GC38" s="604"/>
      <c r="GD38" s="604"/>
      <c r="GE38" s="604"/>
      <c r="GF38" s="604"/>
      <c r="GG38" s="604"/>
      <c r="GH38" s="604"/>
      <c r="GI38" s="604"/>
      <c r="GJ38" s="604"/>
      <c r="GK38" s="604"/>
      <c r="GL38" s="604"/>
      <c r="GM38" s="604"/>
      <c r="GN38" s="604"/>
      <c r="GO38" s="604"/>
      <c r="GP38" s="604"/>
      <c r="GQ38" s="604"/>
      <c r="GR38" s="604"/>
      <c r="GS38" s="604"/>
      <c r="GT38" s="604"/>
      <c r="GU38" s="604"/>
      <c r="GV38" s="604"/>
      <c r="GW38" s="604"/>
      <c r="GX38" s="604"/>
      <c r="GY38" s="604"/>
      <c r="GZ38" s="604"/>
      <c r="HA38" s="604"/>
      <c r="HB38" s="604"/>
      <c r="HC38" s="604"/>
      <c r="HD38" s="604"/>
      <c r="HE38" s="604"/>
      <c r="HF38" s="604"/>
      <c r="HG38" s="604"/>
      <c r="HH38" s="604"/>
      <c r="HI38" s="604"/>
      <c r="HJ38" s="604"/>
      <c r="HK38" s="604"/>
      <c r="HL38" s="604"/>
      <c r="HM38" s="604"/>
      <c r="HN38" s="604"/>
      <c r="HO38" s="604"/>
      <c r="HP38" s="604"/>
      <c r="HQ38" s="604"/>
      <c r="HR38" s="604"/>
      <c r="HS38" s="604"/>
      <c r="HT38" s="604"/>
      <c r="HU38" s="604"/>
      <c r="HV38" s="604"/>
      <c r="HW38" s="604"/>
      <c r="HX38" s="604"/>
      <c r="HY38" s="604"/>
      <c r="HZ38" s="604"/>
      <c r="IA38" s="604"/>
      <c r="IB38" s="604"/>
      <c r="IC38" s="604"/>
      <c r="ID38" s="604"/>
      <c r="IE38" s="604"/>
      <c r="IF38" s="604"/>
      <c r="IG38" s="604"/>
      <c r="IH38" s="604"/>
      <c r="II38" s="604"/>
      <c r="IJ38" s="604"/>
      <c r="IK38" s="604"/>
      <c r="IL38" s="604"/>
      <c r="IM38" s="604"/>
      <c r="IN38" s="604"/>
      <c r="IO38" s="604"/>
      <c r="IP38" s="604"/>
      <c r="IQ38" s="604"/>
      <c r="IR38" s="604"/>
      <c r="IS38" s="604"/>
      <c r="IT38" s="604"/>
      <c r="IU38" s="604"/>
      <c r="IV38" s="604"/>
    </row>
    <row r="39" spans="1:256" ht="21.6" thickBot="1">
      <c r="A39" s="661">
        <f t="shared" si="3"/>
        <v>9</v>
      </c>
      <c r="B39" s="666" t="s">
        <v>180</v>
      </c>
      <c r="C39" s="663">
        <f>[1]capcost!V17</f>
        <v>0</v>
      </c>
      <c r="D39" s="838">
        <v>0</v>
      </c>
      <c r="E39" s="841"/>
      <c r="F39" s="667">
        <f t="shared" si="4"/>
        <v>0</v>
      </c>
      <c r="G39" s="665">
        <f t="shared" si="5"/>
        <v>0</v>
      </c>
      <c r="H39" s="842"/>
      <c r="I39" s="843"/>
      <c r="J39" s="604"/>
      <c r="K39" s="604"/>
      <c r="L39" s="604"/>
      <c r="M39" s="604"/>
      <c r="N39" s="604"/>
      <c r="O39" s="604"/>
      <c r="P39" s="604"/>
      <c r="Q39" s="604"/>
      <c r="R39" s="604"/>
      <c r="S39" s="604"/>
      <c r="T39" s="604"/>
      <c r="U39" s="604"/>
      <c r="V39" s="604"/>
      <c r="W39" s="604"/>
      <c r="X39" s="604"/>
      <c r="Y39" s="604"/>
      <c r="Z39" s="604"/>
      <c r="AA39" s="604"/>
      <c r="AB39" s="604"/>
      <c r="AC39" s="604"/>
      <c r="AD39" s="604"/>
      <c r="AE39" s="604"/>
      <c r="AF39" s="604"/>
      <c r="AG39" s="604"/>
      <c r="AH39" s="604"/>
      <c r="AI39" s="604"/>
      <c r="AJ39" s="604"/>
      <c r="AK39" s="604"/>
      <c r="AL39" s="604"/>
      <c r="AM39" s="604"/>
      <c r="AN39" s="604"/>
      <c r="AO39" s="604"/>
      <c r="AP39" s="604"/>
      <c r="AQ39" s="604"/>
      <c r="AR39" s="604"/>
      <c r="AS39" s="604"/>
      <c r="AT39" s="604"/>
      <c r="AU39" s="604"/>
      <c r="AV39" s="604"/>
      <c r="AW39" s="604"/>
      <c r="AX39" s="604"/>
      <c r="AY39" s="604"/>
      <c r="AZ39" s="604"/>
      <c r="BA39" s="604"/>
      <c r="BB39" s="604"/>
      <c r="BC39" s="604"/>
      <c r="BD39" s="604"/>
      <c r="BE39" s="604"/>
      <c r="BF39" s="604"/>
      <c r="BG39" s="604"/>
      <c r="BH39" s="604"/>
      <c r="BI39" s="604"/>
      <c r="BJ39" s="604"/>
      <c r="BK39" s="604"/>
      <c r="BL39" s="604"/>
      <c r="BM39" s="604"/>
      <c r="BN39" s="604"/>
      <c r="BO39" s="604"/>
      <c r="BP39" s="604"/>
      <c r="BQ39" s="604"/>
      <c r="BR39" s="604"/>
      <c r="BS39" s="604"/>
      <c r="BT39" s="604"/>
      <c r="BU39" s="604"/>
      <c r="BV39" s="604"/>
      <c r="BW39" s="604"/>
      <c r="BX39" s="604"/>
      <c r="BY39" s="604"/>
      <c r="BZ39" s="604"/>
      <c r="CA39" s="604"/>
      <c r="CB39" s="604"/>
      <c r="CC39" s="604"/>
      <c r="CD39" s="604"/>
      <c r="CE39" s="604"/>
      <c r="CF39" s="604"/>
      <c r="CG39" s="604"/>
      <c r="CH39" s="604"/>
      <c r="CI39" s="604"/>
      <c r="CJ39" s="604"/>
      <c r="CK39" s="604"/>
      <c r="CL39" s="604"/>
      <c r="CM39" s="604"/>
      <c r="CN39" s="604"/>
      <c r="CO39" s="604"/>
      <c r="CP39" s="604"/>
      <c r="CQ39" s="604"/>
      <c r="CR39" s="604"/>
      <c r="CS39" s="604"/>
      <c r="CT39" s="604"/>
      <c r="CU39" s="604"/>
      <c r="CV39" s="604"/>
      <c r="CW39" s="604"/>
      <c r="CX39" s="604"/>
      <c r="CY39" s="604"/>
      <c r="CZ39" s="604"/>
      <c r="DA39" s="604"/>
      <c r="DB39" s="604"/>
      <c r="DC39" s="604"/>
      <c r="DD39" s="604"/>
      <c r="DE39" s="604"/>
      <c r="DF39" s="604"/>
      <c r="DG39" s="604"/>
      <c r="DH39" s="604"/>
      <c r="DI39" s="604"/>
      <c r="DJ39" s="604"/>
      <c r="DK39" s="604"/>
      <c r="DL39" s="604"/>
      <c r="DM39" s="604"/>
      <c r="DN39" s="604"/>
      <c r="DO39" s="604"/>
      <c r="DP39" s="604"/>
      <c r="DQ39" s="604"/>
      <c r="DR39" s="604"/>
      <c r="DS39" s="604"/>
      <c r="DT39" s="604"/>
      <c r="DU39" s="604"/>
      <c r="DV39" s="604"/>
      <c r="DW39" s="604"/>
      <c r="DX39" s="604"/>
      <c r="DY39" s="604"/>
      <c r="DZ39" s="604"/>
      <c r="EA39" s="604"/>
      <c r="EB39" s="604"/>
      <c r="EC39" s="604"/>
      <c r="ED39" s="604"/>
      <c r="EE39" s="604"/>
      <c r="EF39" s="604"/>
      <c r="EG39" s="604"/>
      <c r="EH39" s="604"/>
      <c r="EI39" s="604"/>
      <c r="EJ39" s="604"/>
      <c r="EK39" s="604"/>
      <c r="EL39" s="604"/>
      <c r="EM39" s="604"/>
      <c r="EN39" s="604"/>
      <c r="EO39" s="604"/>
      <c r="EP39" s="604"/>
      <c r="EQ39" s="604"/>
      <c r="ER39" s="604"/>
      <c r="ES39" s="604"/>
      <c r="ET39" s="604"/>
      <c r="EU39" s="604"/>
      <c r="EV39" s="604"/>
      <c r="EW39" s="604"/>
      <c r="EX39" s="604"/>
      <c r="EY39" s="604"/>
      <c r="EZ39" s="604"/>
      <c r="FA39" s="604"/>
      <c r="FB39" s="604"/>
      <c r="FC39" s="604"/>
      <c r="FD39" s="604"/>
      <c r="FE39" s="604"/>
      <c r="FF39" s="604"/>
      <c r="FG39" s="604"/>
      <c r="FH39" s="604"/>
      <c r="FI39" s="604"/>
      <c r="FJ39" s="604"/>
      <c r="FK39" s="604"/>
      <c r="FL39" s="604"/>
      <c r="FM39" s="604"/>
      <c r="FN39" s="604"/>
      <c r="FO39" s="604"/>
      <c r="FP39" s="604"/>
      <c r="FQ39" s="604"/>
      <c r="FR39" s="604"/>
      <c r="FS39" s="604"/>
      <c r="FT39" s="604"/>
      <c r="FU39" s="604"/>
      <c r="FV39" s="604"/>
      <c r="FW39" s="604"/>
      <c r="FX39" s="604"/>
      <c r="FY39" s="604"/>
      <c r="FZ39" s="604"/>
      <c r="GA39" s="604"/>
      <c r="GB39" s="604"/>
      <c r="GC39" s="604"/>
      <c r="GD39" s="604"/>
      <c r="GE39" s="604"/>
      <c r="GF39" s="604"/>
      <c r="GG39" s="604"/>
      <c r="GH39" s="604"/>
      <c r="GI39" s="604"/>
      <c r="GJ39" s="604"/>
      <c r="GK39" s="604"/>
      <c r="GL39" s="604"/>
      <c r="GM39" s="604"/>
      <c r="GN39" s="604"/>
      <c r="GO39" s="604"/>
      <c r="GP39" s="604"/>
      <c r="GQ39" s="604"/>
      <c r="GR39" s="604"/>
      <c r="GS39" s="604"/>
      <c r="GT39" s="604"/>
      <c r="GU39" s="604"/>
      <c r="GV39" s="604"/>
      <c r="GW39" s="604"/>
      <c r="GX39" s="604"/>
      <c r="GY39" s="604"/>
      <c r="GZ39" s="604"/>
      <c r="HA39" s="604"/>
      <c r="HB39" s="604"/>
      <c r="HC39" s="604"/>
      <c r="HD39" s="604"/>
      <c r="HE39" s="604"/>
      <c r="HF39" s="604"/>
      <c r="HG39" s="604"/>
      <c r="HH39" s="604"/>
      <c r="HI39" s="604"/>
      <c r="HJ39" s="604"/>
      <c r="HK39" s="604"/>
      <c r="HL39" s="604"/>
      <c r="HM39" s="604"/>
      <c r="HN39" s="604"/>
      <c r="HO39" s="604"/>
      <c r="HP39" s="604"/>
      <c r="HQ39" s="604"/>
      <c r="HR39" s="604"/>
      <c r="HS39" s="604"/>
      <c r="HT39" s="604"/>
      <c r="HU39" s="604"/>
      <c r="HV39" s="604"/>
      <c r="HW39" s="604"/>
      <c r="HX39" s="604"/>
      <c r="HY39" s="604"/>
      <c r="HZ39" s="604"/>
      <c r="IA39" s="604"/>
      <c r="IB39" s="604"/>
      <c r="IC39" s="604"/>
      <c r="ID39" s="604"/>
      <c r="IE39" s="604"/>
      <c r="IF39" s="604"/>
      <c r="IG39" s="604"/>
      <c r="IH39" s="604"/>
      <c r="II39" s="604"/>
      <c r="IJ39" s="604"/>
      <c r="IK39" s="604"/>
      <c r="IL39" s="604"/>
      <c r="IM39" s="604"/>
      <c r="IN39" s="604"/>
      <c r="IO39" s="604"/>
      <c r="IP39" s="604"/>
      <c r="IQ39" s="604"/>
      <c r="IR39" s="604"/>
      <c r="IS39" s="604"/>
      <c r="IT39" s="604"/>
      <c r="IU39" s="604"/>
      <c r="IV39" s="604"/>
    </row>
    <row r="40" spans="1:256" ht="21.6" thickBot="1">
      <c r="A40" s="661">
        <f t="shared" si="3"/>
        <v>10</v>
      </c>
      <c r="B40" s="666" t="s">
        <v>543</v>
      </c>
      <c r="C40" s="663">
        <f>[1]capcost!V18</f>
        <v>0</v>
      </c>
      <c r="D40" s="838">
        <v>0</v>
      </c>
      <c r="E40" s="841"/>
      <c r="F40" s="667">
        <f t="shared" si="4"/>
        <v>0</v>
      </c>
      <c r="G40" s="665">
        <f t="shared" si="5"/>
        <v>0</v>
      </c>
      <c r="H40" s="842"/>
      <c r="I40" s="843"/>
      <c r="J40" s="604"/>
      <c r="K40" s="604"/>
      <c r="L40" s="604"/>
      <c r="M40" s="604"/>
      <c r="N40" s="604"/>
      <c r="O40" s="604"/>
      <c r="P40" s="604"/>
      <c r="Q40" s="604"/>
      <c r="R40" s="604"/>
      <c r="S40" s="604"/>
      <c r="T40" s="604"/>
      <c r="U40" s="604"/>
      <c r="V40" s="604"/>
      <c r="W40" s="604"/>
      <c r="X40" s="604"/>
      <c r="Y40" s="604"/>
      <c r="Z40" s="604"/>
      <c r="AA40" s="604"/>
      <c r="AB40" s="604"/>
      <c r="AC40" s="604"/>
      <c r="AD40" s="604"/>
      <c r="AE40" s="604"/>
      <c r="AF40" s="604"/>
      <c r="AG40" s="604"/>
      <c r="AH40" s="604"/>
      <c r="AI40" s="604"/>
      <c r="AJ40" s="604"/>
      <c r="AK40" s="604"/>
      <c r="AL40" s="604"/>
      <c r="AM40" s="604"/>
      <c r="AN40" s="604"/>
      <c r="AO40" s="604"/>
      <c r="AP40" s="604"/>
      <c r="AQ40" s="604"/>
      <c r="AR40" s="604"/>
      <c r="AS40" s="604"/>
      <c r="AT40" s="604"/>
      <c r="AU40" s="604"/>
      <c r="AV40" s="604"/>
      <c r="AW40" s="604"/>
      <c r="AX40" s="604"/>
      <c r="AY40" s="604"/>
      <c r="AZ40" s="604"/>
      <c r="BA40" s="604"/>
      <c r="BB40" s="604"/>
      <c r="BC40" s="604"/>
      <c r="BD40" s="604"/>
      <c r="BE40" s="604"/>
      <c r="BF40" s="604"/>
      <c r="BG40" s="604"/>
      <c r="BH40" s="604"/>
      <c r="BI40" s="604"/>
      <c r="BJ40" s="604"/>
      <c r="BK40" s="604"/>
      <c r="BL40" s="604"/>
      <c r="BM40" s="604"/>
      <c r="BN40" s="604"/>
      <c r="BO40" s="604"/>
      <c r="BP40" s="604"/>
      <c r="BQ40" s="604"/>
      <c r="BR40" s="604"/>
      <c r="BS40" s="604"/>
      <c r="BT40" s="604"/>
      <c r="BU40" s="604"/>
      <c r="BV40" s="604"/>
      <c r="BW40" s="604"/>
      <c r="BX40" s="604"/>
      <c r="BY40" s="604"/>
      <c r="BZ40" s="604"/>
      <c r="CA40" s="604"/>
      <c r="CB40" s="604"/>
      <c r="CC40" s="604"/>
      <c r="CD40" s="604"/>
      <c r="CE40" s="604"/>
      <c r="CF40" s="604"/>
      <c r="CG40" s="604"/>
      <c r="CH40" s="604"/>
      <c r="CI40" s="604"/>
      <c r="CJ40" s="604"/>
      <c r="CK40" s="604"/>
      <c r="CL40" s="604"/>
      <c r="CM40" s="604"/>
      <c r="CN40" s="604"/>
      <c r="CO40" s="604"/>
      <c r="CP40" s="604"/>
      <c r="CQ40" s="604"/>
      <c r="CR40" s="604"/>
      <c r="CS40" s="604"/>
      <c r="CT40" s="604"/>
      <c r="CU40" s="604"/>
      <c r="CV40" s="604"/>
      <c r="CW40" s="604"/>
      <c r="CX40" s="604"/>
      <c r="CY40" s="604"/>
      <c r="CZ40" s="604"/>
      <c r="DA40" s="604"/>
      <c r="DB40" s="604"/>
      <c r="DC40" s="604"/>
      <c r="DD40" s="604"/>
      <c r="DE40" s="604"/>
      <c r="DF40" s="604"/>
      <c r="DG40" s="604"/>
      <c r="DH40" s="604"/>
      <c r="DI40" s="604"/>
      <c r="DJ40" s="604"/>
      <c r="DK40" s="604"/>
      <c r="DL40" s="604"/>
      <c r="DM40" s="604"/>
      <c r="DN40" s="604"/>
      <c r="DO40" s="604"/>
      <c r="DP40" s="604"/>
      <c r="DQ40" s="604"/>
      <c r="DR40" s="604"/>
      <c r="DS40" s="604"/>
      <c r="DT40" s="604"/>
      <c r="DU40" s="604"/>
      <c r="DV40" s="604"/>
      <c r="DW40" s="604"/>
      <c r="DX40" s="604"/>
      <c r="DY40" s="604"/>
      <c r="DZ40" s="604"/>
      <c r="EA40" s="604"/>
      <c r="EB40" s="604"/>
      <c r="EC40" s="604"/>
      <c r="ED40" s="604"/>
      <c r="EE40" s="604"/>
      <c r="EF40" s="604"/>
      <c r="EG40" s="604"/>
      <c r="EH40" s="604"/>
      <c r="EI40" s="604"/>
      <c r="EJ40" s="604"/>
      <c r="EK40" s="604"/>
      <c r="EL40" s="604"/>
      <c r="EM40" s="604"/>
      <c r="EN40" s="604"/>
      <c r="EO40" s="604"/>
      <c r="EP40" s="604"/>
      <c r="EQ40" s="604"/>
      <c r="ER40" s="604"/>
      <c r="ES40" s="604"/>
      <c r="ET40" s="604"/>
      <c r="EU40" s="604"/>
      <c r="EV40" s="604"/>
      <c r="EW40" s="604"/>
      <c r="EX40" s="604"/>
      <c r="EY40" s="604"/>
      <c r="EZ40" s="604"/>
      <c r="FA40" s="604"/>
      <c r="FB40" s="604"/>
      <c r="FC40" s="604"/>
      <c r="FD40" s="604"/>
      <c r="FE40" s="604"/>
      <c r="FF40" s="604"/>
      <c r="FG40" s="604"/>
      <c r="FH40" s="604"/>
      <c r="FI40" s="604"/>
      <c r="FJ40" s="604"/>
      <c r="FK40" s="604"/>
      <c r="FL40" s="604"/>
      <c r="FM40" s="604"/>
      <c r="FN40" s="604"/>
      <c r="FO40" s="604"/>
      <c r="FP40" s="604"/>
      <c r="FQ40" s="604"/>
      <c r="FR40" s="604"/>
      <c r="FS40" s="604"/>
      <c r="FT40" s="604"/>
      <c r="FU40" s="604"/>
      <c r="FV40" s="604"/>
      <c r="FW40" s="604"/>
      <c r="FX40" s="604"/>
      <c r="FY40" s="604"/>
      <c r="FZ40" s="604"/>
      <c r="GA40" s="604"/>
      <c r="GB40" s="604"/>
      <c r="GC40" s="604"/>
      <c r="GD40" s="604"/>
      <c r="GE40" s="604"/>
      <c r="GF40" s="604"/>
      <c r="GG40" s="604"/>
      <c r="GH40" s="604"/>
      <c r="GI40" s="604"/>
      <c r="GJ40" s="604"/>
      <c r="GK40" s="604"/>
      <c r="GL40" s="604"/>
      <c r="GM40" s="604"/>
      <c r="GN40" s="604"/>
      <c r="GO40" s="604"/>
      <c r="GP40" s="604"/>
      <c r="GQ40" s="604"/>
      <c r="GR40" s="604"/>
      <c r="GS40" s="604"/>
      <c r="GT40" s="604"/>
      <c r="GU40" s="604"/>
      <c r="GV40" s="604"/>
      <c r="GW40" s="604"/>
      <c r="GX40" s="604"/>
      <c r="GY40" s="604"/>
      <c r="GZ40" s="604"/>
      <c r="HA40" s="604"/>
      <c r="HB40" s="604"/>
      <c r="HC40" s="604"/>
      <c r="HD40" s="604"/>
      <c r="HE40" s="604"/>
      <c r="HF40" s="604"/>
      <c r="HG40" s="604"/>
      <c r="HH40" s="604"/>
      <c r="HI40" s="604"/>
      <c r="HJ40" s="604"/>
      <c r="HK40" s="604"/>
      <c r="HL40" s="604"/>
      <c r="HM40" s="604"/>
      <c r="HN40" s="604"/>
      <c r="HO40" s="604"/>
      <c r="HP40" s="604"/>
      <c r="HQ40" s="604"/>
      <c r="HR40" s="604"/>
      <c r="HS40" s="604"/>
      <c r="HT40" s="604"/>
      <c r="HU40" s="604"/>
      <c r="HV40" s="604"/>
      <c r="HW40" s="604"/>
      <c r="HX40" s="604"/>
      <c r="HY40" s="604"/>
      <c r="HZ40" s="604"/>
      <c r="IA40" s="604"/>
      <c r="IB40" s="604"/>
      <c r="IC40" s="604"/>
      <c r="ID40" s="604"/>
      <c r="IE40" s="604"/>
      <c r="IF40" s="604"/>
      <c r="IG40" s="604"/>
      <c r="IH40" s="604"/>
      <c r="II40" s="604"/>
      <c r="IJ40" s="604"/>
      <c r="IK40" s="604"/>
      <c r="IL40" s="604"/>
      <c r="IM40" s="604"/>
      <c r="IN40" s="604"/>
      <c r="IO40" s="604"/>
      <c r="IP40" s="604"/>
      <c r="IQ40" s="604"/>
      <c r="IR40" s="604"/>
      <c r="IS40" s="604"/>
      <c r="IT40" s="604"/>
      <c r="IU40" s="604"/>
      <c r="IV40" s="604"/>
    </row>
    <row r="41" spans="1:256" ht="21.6" thickBot="1">
      <c r="A41" s="661">
        <f t="shared" si="3"/>
        <v>11</v>
      </c>
      <c r="B41" s="666" t="s">
        <v>544</v>
      </c>
      <c r="C41" s="663">
        <v>0</v>
      </c>
      <c r="D41" s="850">
        <f>capcost!D113</f>
        <v>0.32554719265605592</v>
      </c>
      <c r="E41" s="851"/>
      <c r="F41" s="667">
        <f t="shared" si="4"/>
        <v>0</v>
      </c>
      <c r="G41" s="665">
        <f>D41</f>
        <v>0.32554719265605592</v>
      </c>
      <c r="H41" s="846" t="s">
        <v>545</v>
      </c>
      <c r="I41" s="847"/>
      <c r="J41" s="604"/>
      <c r="K41" s="604"/>
      <c r="L41" s="604"/>
      <c r="M41" s="604"/>
      <c r="N41" s="604"/>
      <c r="O41" s="604"/>
      <c r="P41" s="604"/>
      <c r="Q41" s="604"/>
      <c r="R41" s="604"/>
      <c r="S41" s="604"/>
      <c r="T41" s="604"/>
      <c r="U41" s="604"/>
      <c r="V41" s="604"/>
      <c r="W41" s="604"/>
      <c r="X41" s="604"/>
      <c r="Y41" s="604"/>
      <c r="Z41" s="604"/>
      <c r="AA41" s="604"/>
      <c r="AB41" s="604"/>
      <c r="AC41" s="604"/>
      <c r="AD41" s="604"/>
      <c r="AE41" s="604"/>
      <c r="AF41" s="604"/>
      <c r="AG41" s="604"/>
      <c r="AH41" s="604"/>
      <c r="AI41" s="604"/>
      <c r="AJ41" s="604"/>
      <c r="AK41" s="604"/>
      <c r="AL41" s="604"/>
      <c r="AM41" s="604"/>
      <c r="AN41" s="604"/>
      <c r="AO41" s="604"/>
      <c r="AP41" s="604"/>
      <c r="AQ41" s="604"/>
      <c r="AR41" s="604"/>
      <c r="AS41" s="604"/>
      <c r="AT41" s="604"/>
      <c r="AU41" s="604"/>
      <c r="AV41" s="604"/>
      <c r="AW41" s="604"/>
      <c r="AX41" s="604"/>
      <c r="AY41" s="604"/>
      <c r="AZ41" s="604"/>
      <c r="BA41" s="604"/>
      <c r="BB41" s="604"/>
      <c r="BC41" s="604"/>
      <c r="BD41" s="604"/>
      <c r="BE41" s="604"/>
      <c r="BF41" s="604"/>
      <c r="BG41" s="604"/>
      <c r="BH41" s="604"/>
      <c r="BI41" s="604"/>
      <c r="BJ41" s="604"/>
      <c r="BK41" s="604"/>
      <c r="BL41" s="604"/>
      <c r="BM41" s="604"/>
      <c r="BN41" s="604"/>
      <c r="BO41" s="604"/>
      <c r="BP41" s="604"/>
      <c r="BQ41" s="604"/>
      <c r="BR41" s="604"/>
      <c r="BS41" s="604"/>
      <c r="BT41" s="604"/>
      <c r="BU41" s="604"/>
      <c r="BV41" s="604"/>
      <c r="BW41" s="604"/>
      <c r="BX41" s="604"/>
      <c r="BY41" s="604"/>
      <c r="BZ41" s="604"/>
      <c r="CA41" s="604"/>
      <c r="CB41" s="604"/>
      <c r="CC41" s="604"/>
      <c r="CD41" s="604"/>
      <c r="CE41" s="604"/>
      <c r="CF41" s="604"/>
      <c r="CG41" s="604"/>
      <c r="CH41" s="604"/>
      <c r="CI41" s="604"/>
      <c r="CJ41" s="604"/>
      <c r="CK41" s="604"/>
      <c r="CL41" s="604"/>
      <c r="CM41" s="604"/>
      <c r="CN41" s="604"/>
      <c r="CO41" s="604"/>
      <c r="CP41" s="604"/>
      <c r="CQ41" s="604"/>
      <c r="CR41" s="604"/>
      <c r="CS41" s="604"/>
      <c r="CT41" s="604"/>
      <c r="CU41" s="604"/>
      <c r="CV41" s="604"/>
      <c r="CW41" s="604"/>
      <c r="CX41" s="604"/>
      <c r="CY41" s="604"/>
      <c r="CZ41" s="604"/>
      <c r="DA41" s="604"/>
      <c r="DB41" s="604"/>
      <c r="DC41" s="604"/>
      <c r="DD41" s="604"/>
      <c r="DE41" s="604"/>
      <c r="DF41" s="604"/>
      <c r="DG41" s="604"/>
      <c r="DH41" s="604"/>
      <c r="DI41" s="604"/>
      <c r="DJ41" s="604"/>
      <c r="DK41" s="604"/>
      <c r="DL41" s="604"/>
      <c r="DM41" s="604"/>
      <c r="DN41" s="604"/>
      <c r="DO41" s="604"/>
      <c r="DP41" s="604"/>
      <c r="DQ41" s="604"/>
      <c r="DR41" s="604"/>
      <c r="DS41" s="604"/>
      <c r="DT41" s="604"/>
      <c r="DU41" s="604"/>
      <c r="DV41" s="604"/>
      <c r="DW41" s="604"/>
      <c r="DX41" s="604"/>
      <c r="DY41" s="604"/>
      <c r="DZ41" s="604"/>
      <c r="EA41" s="604"/>
      <c r="EB41" s="604"/>
      <c r="EC41" s="604"/>
      <c r="ED41" s="604"/>
      <c r="EE41" s="604"/>
      <c r="EF41" s="604"/>
      <c r="EG41" s="604"/>
      <c r="EH41" s="604"/>
      <c r="EI41" s="604"/>
      <c r="EJ41" s="604"/>
      <c r="EK41" s="604"/>
      <c r="EL41" s="604"/>
      <c r="EM41" s="604"/>
      <c r="EN41" s="604"/>
      <c r="EO41" s="604"/>
      <c r="EP41" s="604"/>
      <c r="EQ41" s="604"/>
      <c r="ER41" s="604"/>
      <c r="ES41" s="604"/>
      <c r="ET41" s="604"/>
      <c r="EU41" s="604"/>
      <c r="EV41" s="604"/>
      <c r="EW41" s="604"/>
      <c r="EX41" s="604"/>
      <c r="EY41" s="604"/>
      <c r="EZ41" s="604"/>
      <c r="FA41" s="604"/>
      <c r="FB41" s="604"/>
      <c r="FC41" s="604"/>
      <c r="FD41" s="604"/>
      <c r="FE41" s="604"/>
      <c r="FF41" s="604"/>
      <c r="FG41" s="604"/>
      <c r="FH41" s="604"/>
      <c r="FI41" s="604"/>
      <c r="FJ41" s="604"/>
      <c r="FK41" s="604"/>
      <c r="FL41" s="604"/>
      <c r="FM41" s="604"/>
      <c r="FN41" s="604"/>
      <c r="FO41" s="604"/>
      <c r="FP41" s="604"/>
      <c r="FQ41" s="604"/>
      <c r="FR41" s="604"/>
      <c r="FS41" s="604"/>
      <c r="FT41" s="604"/>
      <c r="FU41" s="604"/>
      <c r="FV41" s="604"/>
      <c r="FW41" s="604"/>
      <c r="FX41" s="604"/>
      <c r="FY41" s="604"/>
      <c r="FZ41" s="604"/>
      <c r="GA41" s="604"/>
      <c r="GB41" s="604"/>
      <c r="GC41" s="604"/>
      <c r="GD41" s="604"/>
      <c r="GE41" s="604"/>
      <c r="GF41" s="604"/>
      <c r="GG41" s="604"/>
      <c r="GH41" s="604"/>
      <c r="GI41" s="604"/>
      <c r="GJ41" s="604"/>
      <c r="GK41" s="604"/>
      <c r="GL41" s="604"/>
      <c r="GM41" s="604"/>
      <c r="GN41" s="604"/>
      <c r="GO41" s="604"/>
      <c r="GP41" s="604"/>
      <c r="GQ41" s="604"/>
      <c r="GR41" s="604"/>
      <c r="GS41" s="604"/>
      <c r="GT41" s="604"/>
      <c r="GU41" s="604"/>
      <c r="GV41" s="604"/>
      <c r="GW41" s="604"/>
      <c r="GX41" s="604"/>
      <c r="GY41" s="604"/>
      <c r="GZ41" s="604"/>
      <c r="HA41" s="604"/>
      <c r="HB41" s="604"/>
      <c r="HC41" s="604"/>
      <c r="HD41" s="604"/>
      <c r="HE41" s="604"/>
      <c r="HF41" s="604"/>
      <c r="HG41" s="604"/>
      <c r="HH41" s="604"/>
      <c r="HI41" s="604"/>
      <c r="HJ41" s="604"/>
      <c r="HK41" s="604"/>
      <c r="HL41" s="604"/>
      <c r="HM41" s="604"/>
      <c r="HN41" s="604"/>
      <c r="HO41" s="604"/>
      <c r="HP41" s="604"/>
      <c r="HQ41" s="604"/>
      <c r="HR41" s="604"/>
      <c r="HS41" s="604"/>
      <c r="HT41" s="604"/>
      <c r="HU41" s="604"/>
      <c r="HV41" s="604"/>
      <c r="HW41" s="604"/>
      <c r="HX41" s="604"/>
      <c r="HY41" s="604"/>
      <c r="HZ41" s="604"/>
      <c r="IA41" s="604"/>
      <c r="IB41" s="604"/>
      <c r="IC41" s="604"/>
      <c r="ID41" s="604"/>
      <c r="IE41" s="604"/>
      <c r="IF41" s="604"/>
      <c r="IG41" s="604"/>
      <c r="IH41" s="604"/>
      <c r="II41" s="604"/>
      <c r="IJ41" s="604"/>
      <c r="IK41" s="604"/>
      <c r="IL41" s="604"/>
      <c r="IM41" s="604"/>
      <c r="IN41" s="604"/>
      <c r="IO41" s="604"/>
      <c r="IP41" s="604"/>
      <c r="IQ41" s="604"/>
      <c r="IR41" s="604"/>
      <c r="IS41" s="604"/>
      <c r="IT41" s="604"/>
      <c r="IU41" s="604"/>
      <c r="IV41" s="604"/>
    </row>
    <row r="42" spans="1:256" ht="21.6" thickBot="1">
      <c r="A42" s="661">
        <f t="shared" si="3"/>
        <v>12</v>
      </c>
      <c r="B42" s="666" t="s">
        <v>546</v>
      </c>
      <c r="C42" s="663">
        <v>0</v>
      </c>
      <c r="D42" s="838">
        <f>capcost!E115</f>
        <v>0.37030993164626358</v>
      </c>
      <c r="E42" s="841"/>
      <c r="F42" s="667">
        <f t="shared" si="4"/>
        <v>0</v>
      </c>
      <c r="G42" s="665">
        <f>D42</f>
        <v>0.37030993164626358</v>
      </c>
      <c r="H42" s="831"/>
      <c r="I42" s="833"/>
      <c r="J42" s="604"/>
      <c r="K42" s="604"/>
      <c r="L42" s="604"/>
      <c r="M42" s="604"/>
      <c r="N42" s="604"/>
      <c r="O42" s="604"/>
      <c r="P42" s="604"/>
      <c r="Q42" s="604"/>
      <c r="R42" s="604"/>
      <c r="S42" s="604"/>
      <c r="T42" s="604"/>
      <c r="U42" s="604"/>
      <c r="V42" s="604"/>
      <c r="W42" s="604"/>
      <c r="X42" s="604"/>
      <c r="Y42" s="604"/>
      <c r="Z42" s="604"/>
      <c r="AA42" s="604"/>
      <c r="AB42" s="604"/>
      <c r="AC42" s="604"/>
      <c r="AD42" s="604"/>
      <c r="AE42" s="604"/>
      <c r="AF42" s="604"/>
      <c r="AG42" s="604"/>
      <c r="AH42" s="604"/>
      <c r="AI42" s="604"/>
      <c r="AJ42" s="604"/>
      <c r="AK42" s="604"/>
      <c r="AL42" s="604"/>
      <c r="AM42" s="604"/>
      <c r="AN42" s="604"/>
      <c r="AO42" s="604"/>
      <c r="AP42" s="604"/>
      <c r="AQ42" s="604"/>
      <c r="AR42" s="604"/>
      <c r="AS42" s="604"/>
      <c r="AT42" s="604"/>
      <c r="AU42" s="604"/>
      <c r="AV42" s="604"/>
      <c r="AW42" s="604"/>
      <c r="AX42" s="604"/>
      <c r="AY42" s="604"/>
      <c r="AZ42" s="604"/>
      <c r="BA42" s="604"/>
      <c r="BB42" s="604"/>
      <c r="BC42" s="604"/>
      <c r="BD42" s="604"/>
      <c r="BE42" s="604"/>
      <c r="BF42" s="604"/>
      <c r="BG42" s="604"/>
      <c r="BH42" s="604"/>
      <c r="BI42" s="604"/>
      <c r="BJ42" s="604"/>
      <c r="BK42" s="604"/>
      <c r="BL42" s="604"/>
      <c r="BM42" s="604"/>
      <c r="BN42" s="604"/>
      <c r="BO42" s="604"/>
      <c r="BP42" s="604"/>
      <c r="BQ42" s="604"/>
      <c r="BR42" s="604"/>
      <c r="BS42" s="604"/>
      <c r="BT42" s="604"/>
      <c r="BU42" s="604"/>
      <c r="BV42" s="604"/>
      <c r="BW42" s="604"/>
      <c r="BX42" s="604"/>
      <c r="BY42" s="604"/>
      <c r="BZ42" s="604"/>
      <c r="CA42" s="604"/>
      <c r="CB42" s="604"/>
      <c r="CC42" s="604"/>
      <c r="CD42" s="604"/>
      <c r="CE42" s="604"/>
      <c r="CF42" s="604"/>
      <c r="CG42" s="604"/>
      <c r="CH42" s="604"/>
      <c r="CI42" s="604"/>
      <c r="CJ42" s="604"/>
      <c r="CK42" s="604"/>
      <c r="CL42" s="604"/>
      <c r="CM42" s="604"/>
      <c r="CN42" s="604"/>
      <c r="CO42" s="604"/>
      <c r="CP42" s="604"/>
      <c r="CQ42" s="604"/>
      <c r="CR42" s="604"/>
      <c r="CS42" s="604"/>
      <c r="CT42" s="604"/>
      <c r="CU42" s="604"/>
      <c r="CV42" s="604"/>
      <c r="CW42" s="604"/>
      <c r="CX42" s="604"/>
      <c r="CY42" s="604"/>
      <c r="CZ42" s="604"/>
      <c r="DA42" s="604"/>
      <c r="DB42" s="604"/>
      <c r="DC42" s="604"/>
      <c r="DD42" s="604"/>
      <c r="DE42" s="604"/>
      <c r="DF42" s="604"/>
      <c r="DG42" s="604"/>
      <c r="DH42" s="604"/>
      <c r="DI42" s="604"/>
      <c r="DJ42" s="604"/>
      <c r="DK42" s="604"/>
      <c r="DL42" s="604"/>
      <c r="DM42" s="604"/>
      <c r="DN42" s="604"/>
      <c r="DO42" s="604"/>
      <c r="DP42" s="604"/>
      <c r="DQ42" s="604"/>
      <c r="DR42" s="604"/>
      <c r="DS42" s="604"/>
      <c r="DT42" s="604"/>
      <c r="DU42" s="604"/>
      <c r="DV42" s="604"/>
      <c r="DW42" s="604"/>
      <c r="DX42" s="604"/>
      <c r="DY42" s="604"/>
      <c r="DZ42" s="604"/>
      <c r="EA42" s="604"/>
      <c r="EB42" s="604"/>
      <c r="EC42" s="604"/>
      <c r="ED42" s="604"/>
      <c r="EE42" s="604"/>
      <c r="EF42" s="604"/>
      <c r="EG42" s="604"/>
      <c r="EH42" s="604"/>
      <c r="EI42" s="604"/>
      <c r="EJ42" s="604"/>
      <c r="EK42" s="604"/>
      <c r="EL42" s="604"/>
      <c r="EM42" s="604"/>
      <c r="EN42" s="604"/>
      <c r="EO42" s="604"/>
      <c r="EP42" s="604"/>
      <c r="EQ42" s="604"/>
      <c r="ER42" s="604"/>
      <c r="ES42" s="604"/>
      <c r="ET42" s="604"/>
      <c r="EU42" s="604"/>
      <c r="EV42" s="604"/>
      <c r="EW42" s="604"/>
      <c r="EX42" s="604"/>
      <c r="EY42" s="604"/>
      <c r="EZ42" s="604"/>
      <c r="FA42" s="604"/>
      <c r="FB42" s="604"/>
      <c r="FC42" s="604"/>
      <c r="FD42" s="604"/>
      <c r="FE42" s="604"/>
      <c r="FF42" s="604"/>
      <c r="FG42" s="604"/>
      <c r="FH42" s="604"/>
      <c r="FI42" s="604"/>
      <c r="FJ42" s="604"/>
      <c r="FK42" s="604"/>
      <c r="FL42" s="604"/>
      <c r="FM42" s="604"/>
      <c r="FN42" s="604"/>
      <c r="FO42" s="604"/>
      <c r="FP42" s="604"/>
      <c r="FQ42" s="604"/>
      <c r="FR42" s="604"/>
      <c r="FS42" s="604"/>
      <c r="FT42" s="604"/>
      <c r="FU42" s="604"/>
      <c r="FV42" s="604"/>
      <c r="FW42" s="604"/>
      <c r="FX42" s="604"/>
      <c r="FY42" s="604"/>
      <c r="FZ42" s="604"/>
      <c r="GA42" s="604"/>
      <c r="GB42" s="604"/>
      <c r="GC42" s="604"/>
      <c r="GD42" s="604"/>
      <c r="GE42" s="604"/>
      <c r="GF42" s="604"/>
      <c r="GG42" s="604"/>
      <c r="GH42" s="604"/>
      <c r="GI42" s="604"/>
      <c r="GJ42" s="604"/>
      <c r="GK42" s="604"/>
      <c r="GL42" s="604"/>
      <c r="GM42" s="604"/>
      <c r="GN42" s="604"/>
      <c r="GO42" s="604"/>
      <c r="GP42" s="604"/>
      <c r="GQ42" s="604"/>
      <c r="GR42" s="604"/>
      <c r="GS42" s="604"/>
      <c r="GT42" s="604"/>
      <c r="GU42" s="604"/>
      <c r="GV42" s="604"/>
      <c r="GW42" s="604"/>
      <c r="GX42" s="604"/>
      <c r="GY42" s="604"/>
      <c r="GZ42" s="604"/>
      <c r="HA42" s="604"/>
      <c r="HB42" s="604"/>
      <c r="HC42" s="604"/>
      <c r="HD42" s="604"/>
      <c r="HE42" s="604"/>
      <c r="HF42" s="604"/>
      <c r="HG42" s="604"/>
      <c r="HH42" s="604"/>
      <c r="HI42" s="604"/>
      <c r="HJ42" s="604"/>
      <c r="HK42" s="604"/>
      <c r="HL42" s="604"/>
      <c r="HM42" s="604"/>
      <c r="HN42" s="604"/>
      <c r="HO42" s="604"/>
      <c r="HP42" s="604"/>
      <c r="HQ42" s="604"/>
      <c r="HR42" s="604"/>
      <c r="HS42" s="604"/>
      <c r="HT42" s="604"/>
      <c r="HU42" s="604"/>
      <c r="HV42" s="604"/>
      <c r="HW42" s="604"/>
      <c r="HX42" s="604"/>
      <c r="HY42" s="604"/>
      <c r="HZ42" s="604"/>
      <c r="IA42" s="604"/>
      <c r="IB42" s="604"/>
      <c r="IC42" s="604"/>
      <c r="ID42" s="604"/>
      <c r="IE42" s="604"/>
      <c r="IF42" s="604"/>
      <c r="IG42" s="604"/>
      <c r="IH42" s="604"/>
      <c r="II42" s="604"/>
      <c r="IJ42" s="604"/>
      <c r="IK42" s="604"/>
      <c r="IL42" s="604"/>
      <c r="IM42" s="604"/>
      <c r="IN42" s="604"/>
      <c r="IO42" s="604"/>
      <c r="IP42" s="604"/>
      <c r="IQ42" s="604"/>
      <c r="IR42" s="604"/>
      <c r="IS42" s="604"/>
      <c r="IT42" s="604"/>
      <c r="IU42" s="604"/>
      <c r="IV42" s="604"/>
    </row>
    <row r="43" spans="1:256" ht="21.6" thickBot="1">
      <c r="A43" s="661">
        <f t="shared" si="3"/>
        <v>13</v>
      </c>
      <c r="B43" s="666" t="s">
        <v>392</v>
      </c>
      <c r="C43" s="663">
        <v>0</v>
      </c>
      <c r="D43" s="838">
        <f>capcost!E117</f>
        <v>-0.8423493307390062</v>
      </c>
      <c r="E43" s="841"/>
      <c r="F43" s="667">
        <f t="shared" si="4"/>
        <v>0</v>
      </c>
      <c r="G43" s="665">
        <f>D43</f>
        <v>-0.8423493307390062</v>
      </c>
      <c r="H43" s="831"/>
      <c r="I43" s="833"/>
      <c r="J43" s="604"/>
      <c r="K43" s="604"/>
      <c r="L43" s="604"/>
      <c r="M43" s="604"/>
      <c r="N43" s="604"/>
      <c r="O43" s="604"/>
      <c r="P43" s="604"/>
      <c r="Q43" s="604"/>
      <c r="R43" s="604"/>
      <c r="S43" s="604"/>
      <c r="T43" s="604"/>
      <c r="U43" s="604"/>
      <c r="V43" s="604"/>
      <c r="W43" s="604"/>
      <c r="X43" s="604"/>
      <c r="Y43" s="604"/>
      <c r="Z43" s="604"/>
      <c r="AA43" s="604"/>
      <c r="AB43" s="604"/>
      <c r="AC43" s="604"/>
      <c r="AD43" s="604"/>
      <c r="AE43" s="604"/>
      <c r="AF43" s="604"/>
      <c r="AG43" s="604"/>
      <c r="AH43" s="604"/>
      <c r="AI43" s="604"/>
      <c r="AJ43" s="604"/>
      <c r="AK43" s="604"/>
      <c r="AL43" s="604"/>
      <c r="AM43" s="604"/>
      <c r="AN43" s="604"/>
      <c r="AO43" s="604"/>
      <c r="AP43" s="604"/>
      <c r="AQ43" s="604"/>
      <c r="AR43" s="604"/>
      <c r="AS43" s="604"/>
      <c r="AT43" s="604"/>
      <c r="AU43" s="604"/>
      <c r="AV43" s="604"/>
      <c r="AW43" s="604"/>
      <c r="AX43" s="604"/>
      <c r="AY43" s="604"/>
      <c r="AZ43" s="604"/>
      <c r="BA43" s="604"/>
      <c r="BB43" s="604"/>
      <c r="BC43" s="604"/>
      <c r="BD43" s="604"/>
      <c r="BE43" s="604"/>
      <c r="BF43" s="604"/>
      <c r="BG43" s="604"/>
      <c r="BH43" s="604"/>
      <c r="BI43" s="604"/>
      <c r="BJ43" s="604"/>
      <c r="BK43" s="604"/>
      <c r="BL43" s="604"/>
      <c r="BM43" s="604"/>
      <c r="BN43" s="604"/>
      <c r="BO43" s="604"/>
      <c r="BP43" s="604"/>
      <c r="BQ43" s="604"/>
      <c r="BR43" s="604"/>
      <c r="BS43" s="604"/>
      <c r="BT43" s="604"/>
      <c r="BU43" s="604"/>
      <c r="BV43" s="604"/>
      <c r="BW43" s="604"/>
      <c r="BX43" s="604"/>
      <c r="BY43" s="604"/>
      <c r="BZ43" s="604"/>
      <c r="CA43" s="604"/>
      <c r="CB43" s="604"/>
      <c r="CC43" s="604"/>
      <c r="CD43" s="604"/>
      <c r="CE43" s="604"/>
      <c r="CF43" s="604"/>
      <c r="CG43" s="604"/>
      <c r="CH43" s="604"/>
      <c r="CI43" s="604"/>
      <c r="CJ43" s="604"/>
      <c r="CK43" s="604"/>
      <c r="CL43" s="604"/>
      <c r="CM43" s="604"/>
      <c r="CN43" s="604"/>
      <c r="CO43" s="604"/>
      <c r="CP43" s="604"/>
      <c r="CQ43" s="604"/>
      <c r="CR43" s="604"/>
      <c r="CS43" s="604"/>
      <c r="CT43" s="604"/>
      <c r="CU43" s="604"/>
      <c r="CV43" s="604"/>
      <c r="CW43" s="604"/>
      <c r="CX43" s="604"/>
      <c r="CY43" s="604"/>
      <c r="CZ43" s="604"/>
      <c r="DA43" s="604"/>
      <c r="DB43" s="604"/>
      <c r="DC43" s="604"/>
      <c r="DD43" s="604"/>
      <c r="DE43" s="604"/>
      <c r="DF43" s="604"/>
      <c r="DG43" s="604"/>
      <c r="DH43" s="604"/>
      <c r="DI43" s="604"/>
      <c r="DJ43" s="604"/>
      <c r="DK43" s="604"/>
      <c r="DL43" s="604"/>
      <c r="DM43" s="604"/>
      <c r="DN43" s="604"/>
      <c r="DO43" s="604"/>
      <c r="DP43" s="604"/>
      <c r="DQ43" s="604"/>
      <c r="DR43" s="604"/>
      <c r="DS43" s="604"/>
      <c r="DT43" s="604"/>
      <c r="DU43" s="604"/>
      <c r="DV43" s="604"/>
      <c r="DW43" s="604"/>
      <c r="DX43" s="604"/>
      <c r="DY43" s="604"/>
      <c r="DZ43" s="604"/>
      <c r="EA43" s="604"/>
      <c r="EB43" s="604"/>
      <c r="EC43" s="604"/>
      <c r="ED43" s="604"/>
      <c r="EE43" s="604"/>
      <c r="EF43" s="604"/>
      <c r="EG43" s="604"/>
      <c r="EH43" s="604"/>
      <c r="EI43" s="604"/>
      <c r="EJ43" s="604"/>
      <c r="EK43" s="604"/>
      <c r="EL43" s="604"/>
      <c r="EM43" s="604"/>
      <c r="EN43" s="604"/>
      <c r="EO43" s="604"/>
      <c r="EP43" s="604"/>
      <c r="EQ43" s="604"/>
      <c r="ER43" s="604"/>
      <c r="ES43" s="604"/>
      <c r="ET43" s="604"/>
      <c r="EU43" s="604"/>
      <c r="EV43" s="604"/>
      <c r="EW43" s="604"/>
      <c r="EX43" s="604"/>
      <c r="EY43" s="604"/>
      <c r="EZ43" s="604"/>
      <c r="FA43" s="604"/>
      <c r="FB43" s="604"/>
      <c r="FC43" s="604"/>
      <c r="FD43" s="604"/>
      <c r="FE43" s="604"/>
      <c r="FF43" s="604"/>
      <c r="FG43" s="604"/>
      <c r="FH43" s="604"/>
      <c r="FI43" s="604"/>
      <c r="FJ43" s="604"/>
      <c r="FK43" s="604"/>
      <c r="FL43" s="604"/>
      <c r="FM43" s="604"/>
      <c r="FN43" s="604"/>
      <c r="FO43" s="604"/>
      <c r="FP43" s="604"/>
      <c r="FQ43" s="604"/>
      <c r="FR43" s="604"/>
      <c r="FS43" s="604"/>
      <c r="FT43" s="604"/>
      <c r="FU43" s="604"/>
      <c r="FV43" s="604"/>
      <c r="FW43" s="604"/>
      <c r="FX43" s="604"/>
      <c r="FY43" s="604"/>
      <c r="FZ43" s="604"/>
      <c r="GA43" s="604"/>
      <c r="GB43" s="604"/>
      <c r="GC43" s="604"/>
      <c r="GD43" s="604"/>
      <c r="GE43" s="604"/>
      <c r="GF43" s="604"/>
      <c r="GG43" s="604"/>
      <c r="GH43" s="604"/>
      <c r="GI43" s="604"/>
      <c r="GJ43" s="604"/>
      <c r="GK43" s="604"/>
      <c r="GL43" s="604"/>
      <c r="GM43" s="604"/>
      <c r="GN43" s="604"/>
      <c r="GO43" s="604"/>
      <c r="GP43" s="604"/>
      <c r="GQ43" s="604"/>
      <c r="GR43" s="604"/>
      <c r="GS43" s="604"/>
      <c r="GT43" s="604"/>
      <c r="GU43" s="604"/>
      <c r="GV43" s="604"/>
      <c r="GW43" s="604"/>
      <c r="GX43" s="604"/>
      <c r="GY43" s="604"/>
      <c r="GZ43" s="604"/>
      <c r="HA43" s="604"/>
      <c r="HB43" s="604"/>
      <c r="HC43" s="604"/>
      <c r="HD43" s="604"/>
      <c r="HE43" s="604"/>
      <c r="HF43" s="604"/>
      <c r="HG43" s="604"/>
      <c r="HH43" s="604"/>
      <c r="HI43" s="604"/>
      <c r="HJ43" s="604"/>
      <c r="HK43" s="604"/>
      <c r="HL43" s="604"/>
      <c r="HM43" s="604"/>
      <c r="HN43" s="604"/>
      <c r="HO43" s="604"/>
      <c r="HP43" s="604"/>
      <c r="HQ43" s="604"/>
      <c r="HR43" s="604"/>
      <c r="HS43" s="604"/>
      <c r="HT43" s="604"/>
      <c r="HU43" s="604"/>
      <c r="HV43" s="604"/>
      <c r="HW43" s="604"/>
      <c r="HX43" s="604"/>
      <c r="HY43" s="604"/>
      <c r="HZ43" s="604"/>
      <c r="IA43" s="604"/>
      <c r="IB43" s="604"/>
      <c r="IC43" s="604"/>
      <c r="ID43" s="604"/>
      <c r="IE43" s="604"/>
      <c r="IF43" s="604"/>
      <c r="IG43" s="604"/>
      <c r="IH43" s="604"/>
      <c r="II43" s="604"/>
      <c r="IJ43" s="604"/>
      <c r="IK43" s="604"/>
      <c r="IL43" s="604"/>
      <c r="IM43" s="604"/>
      <c r="IN43" s="604"/>
      <c r="IO43" s="604"/>
      <c r="IP43" s="604"/>
      <c r="IQ43" s="604"/>
      <c r="IR43" s="604"/>
      <c r="IS43" s="604"/>
      <c r="IT43" s="604"/>
      <c r="IU43" s="604"/>
      <c r="IV43" s="604"/>
    </row>
    <row r="44" spans="1:256" ht="21.6" thickBot="1">
      <c r="A44" s="672"/>
      <c r="B44" s="673" t="s">
        <v>5</v>
      </c>
      <c r="C44" s="674">
        <f>SUM(C31:C43)</f>
        <v>0</v>
      </c>
      <c r="D44" s="855">
        <f>SUM(D31:E42)+D43</f>
        <v>6.3644346109701448</v>
      </c>
      <c r="E44" s="856"/>
      <c r="F44" s="667">
        <f t="shared" si="4"/>
        <v>0</v>
      </c>
      <c r="G44" s="675">
        <f>SUM(G31:G42)+G43</f>
        <v>6.3644346109701448</v>
      </c>
      <c r="H44" s="857"/>
      <c r="I44" s="858"/>
      <c r="J44" s="656"/>
      <c r="K44" s="656"/>
      <c r="L44" s="656"/>
      <c r="M44" s="656"/>
      <c r="N44" s="656"/>
    </row>
    <row r="45" spans="1:256">
      <c r="A45" s="676"/>
      <c r="D45" s="655"/>
      <c r="E45" s="655"/>
      <c r="F45" s="655"/>
      <c r="G45" s="655"/>
      <c r="H45" s="655"/>
      <c r="I45" s="656"/>
      <c r="J45" s="656"/>
      <c r="K45" s="656"/>
      <c r="L45" s="656"/>
      <c r="M45" s="656"/>
      <c r="N45" s="656"/>
    </row>
    <row r="46" spans="1:256">
      <c r="A46" s="677" t="s">
        <v>547</v>
      </c>
      <c r="N46" s="656"/>
    </row>
    <row r="47" spans="1:256">
      <c r="A47" s="677" t="s">
        <v>589</v>
      </c>
      <c r="N47" s="656"/>
    </row>
    <row r="48" spans="1:256" ht="21.6" thickBot="1">
      <c r="A48" s="653" t="s">
        <v>548</v>
      </c>
      <c r="F48" s="594" t="s">
        <v>520</v>
      </c>
    </row>
    <row r="49" spans="1:6" ht="21.6" thickBot="1">
      <c r="A49" s="859" t="s">
        <v>549</v>
      </c>
      <c r="B49" s="859"/>
      <c r="C49" s="859"/>
      <c r="D49" s="859"/>
      <c r="E49" s="860"/>
      <c r="F49" s="678">
        <f>G44</f>
        <v>6.3644346109701448</v>
      </c>
    </row>
    <row r="50" spans="1:6">
      <c r="A50" s="604" t="s">
        <v>550</v>
      </c>
    </row>
    <row r="51" spans="1:6">
      <c r="A51" s="679"/>
    </row>
    <row r="52" spans="1:6" ht="21.6" thickBot="1">
      <c r="A52" s="596" t="s">
        <v>551</v>
      </c>
    </row>
    <row r="53" spans="1:6" ht="41.4" thickBot="1">
      <c r="A53" s="680" t="s">
        <v>247</v>
      </c>
      <c r="B53" s="681" t="s">
        <v>552</v>
      </c>
      <c r="C53" s="681" t="s">
        <v>553</v>
      </c>
      <c r="D53" s="848" t="s">
        <v>554</v>
      </c>
      <c r="E53" s="849"/>
    </row>
    <row r="54" spans="1:6" ht="21.6" thickBot="1">
      <c r="A54" s="659" t="s">
        <v>175</v>
      </c>
      <c r="B54" s="662" t="s">
        <v>555</v>
      </c>
      <c r="C54" s="666" t="s">
        <v>556</v>
      </c>
      <c r="D54" s="842"/>
      <c r="E54" s="843"/>
    </row>
    <row r="55" spans="1:6" ht="30.75" customHeight="1" thickBot="1">
      <c r="A55" s="659" t="s">
        <v>557</v>
      </c>
      <c r="B55" s="696" t="s">
        <v>558</v>
      </c>
      <c r="C55" s="697" t="s">
        <v>559</v>
      </c>
      <c r="D55" s="668"/>
      <c r="E55" s="669"/>
    </row>
    <row r="56" spans="1:6" ht="21.6" thickBot="1">
      <c r="A56" s="659" t="s">
        <v>560</v>
      </c>
      <c r="B56" s="662" t="s">
        <v>561</v>
      </c>
      <c r="C56" s="666" t="s">
        <v>562</v>
      </c>
      <c r="D56" s="668"/>
      <c r="E56" s="669"/>
    </row>
    <row r="57" spans="1:6" ht="21.6" thickBot="1">
      <c r="A57" s="658" t="s">
        <v>66</v>
      </c>
      <c r="B57" s="662" t="s">
        <v>563</v>
      </c>
      <c r="C57" s="666" t="s">
        <v>564</v>
      </c>
      <c r="D57" s="842"/>
      <c r="E57" s="843"/>
    </row>
    <row r="58" spans="1:6" ht="21.6" thickBot="1">
      <c r="A58" s="658" t="s">
        <v>565</v>
      </c>
      <c r="B58" s="662" t="s">
        <v>584</v>
      </c>
      <c r="C58" s="666" t="s">
        <v>585</v>
      </c>
      <c r="D58" s="668"/>
      <c r="E58" s="669"/>
    </row>
    <row r="59" spans="1:6" ht="21.6" thickBot="1">
      <c r="A59" s="658" t="s">
        <v>566</v>
      </c>
      <c r="B59" s="662" t="s">
        <v>582</v>
      </c>
      <c r="C59" s="666" t="s">
        <v>583</v>
      </c>
      <c r="D59" s="668"/>
      <c r="E59" s="669"/>
    </row>
    <row r="60" spans="1:6" ht="21.6" thickBot="1">
      <c r="A60" s="658" t="s">
        <v>565</v>
      </c>
      <c r="B60" s="662" t="s">
        <v>587</v>
      </c>
      <c r="C60" s="666" t="s">
        <v>586</v>
      </c>
      <c r="D60" s="668"/>
      <c r="E60" s="669"/>
    </row>
    <row r="61" spans="1:6" ht="21.6" thickBot="1">
      <c r="A61" s="658" t="s">
        <v>566</v>
      </c>
      <c r="B61" s="662" t="s">
        <v>588</v>
      </c>
      <c r="C61" s="666" t="s">
        <v>592</v>
      </c>
      <c r="D61" s="852"/>
      <c r="E61" s="853"/>
    </row>
    <row r="62" spans="1:6" ht="21.6" thickBot="1">
      <c r="A62" s="682" t="s">
        <v>567</v>
      </c>
      <c r="B62" s="683" t="s">
        <v>568</v>
      </c>
      <c r="C62" s="684" t="s">
        <v>569</v>
      </c>
      <c r="D62" s="854"/>
      <c r="E62" s="853"/>
    </row>
  </sheetData>
  <mergeCells count="54">
    <mergeCell ref="D54:E54"/>
    <mergeCell ref="D57:E57"/>
    <mergeCell ref="D61:E61"/>
    <mergeCell ref="D62:E62"/>
    <mergeCell ref="B27:P27"/>
    <mergeCell ref="D43:E43"/>
    <mergeCell ref="H43:I43"/>
    <mergeCell ref="D44:E44"/>
    <mergeCell ref="H44:I44"/>
    <mergeCell ref="A49:E49"/>
    <mergeCell ref="D53:E53"/>
    <mergeCell ref="D40:E40"/>
    <mergeCell ref="H40:I40"/>
    <mergeCell ref="D41:E41"/>
    <mergeCell ref="H41:I41"/>
    <mergeCell ref="D42:E42"/>
    <mergeCell ref="H42:I42"/>
    <mergeCell ref="D37:E37"/>
    <mergeCell ref="H37:I37"/>
    <mergeCell ref="D38:E38"/>
    <mergeCell ref="H38:I38"/>
    <mergeCell ref="D39:E39"/>
    <mergeCell ref="H39:I39"/>
    <mergeCell ref="D34:E34"/>
    <mergeCell ref="H34:I34"/>
    <mergeCell ref="D35:E35"/>
    <mergeCell ref="H35:I35"/>
    <mergeCell ref="D36:E36"/>
    <mergeCell ref="H36:I36"/>
    <mergeCell ref="D31:E31"/>
    <mergeCell ref="H31:I31"/>
    <mergeCell ref="D32:E32"/>
    <mergeCell ref="H32:I32"/>
    <mergeCell ref="D33:E33"/>
    <mergeCell ref="H33:I33"/>
    <mergeCell ref="B23:C23"/>
    <mergeCell ref="B24:C24"/>
    <mergeCell ref="B26:Q26"/>
    <mergeCell ref="A29:A30"/>
    <mergeCell ref="B29:B30"/>
    <mergeCell ref="C29:E29"/>
    <mergeCell ref="G29:G30"/>
    <mergeCell ref="H29:I30"/>
    <mergeCell ref="D30:E30"/>
    <mergeCell ref="M9:N10"/>
    <mergeCell ref="O9:P10"/>
    <mergeCell ref="Q9:Q11"/>
    <mergeCell ref="D10:E10"/>
    <mergeCell ref="A7:C7"/>
    <mergeCell ref="A9:A11"/>
    <mergeCell ref="B9:B11"/>
    <mergeCell ref="C9:C11"/>
    <mergeCell ref="D9:H9"/>
    <mergeCell ref="I9:L9"/>
  </mergeCells>
  <pageMargins left="0.25" right="0.25" top="0.75" bottom="0.75" header="0.3" footer="0.3"/>
  <pageSetup paperSize="9" scale="50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"/>
  <sheetViews>
    <sheetView showZeros="0" tabSelected="1" workbookViewId="0">
      <selection activeCell="L15" sqref="L15"/>
    </sheetView>
  </sheetViews>
  <sheetFormatPr defaultColWidth="8.90625" defaultRowHeight="15"/>
  <cols>
    <col min="1" max="1" width="5.90625" style="700" customWidth="1"/>
    <col min="2" max="2" width="6.6328125" style="700" customWidth="1"/>
    <col min="3" max="3" width="40.453125" style="700" customWidth="1"/>
    <col min="4" max="4" width="10.90625" style="700" bestFit="1" customWidth="1"/>
    <col min="5" max="5" width="10.90625" style="700" customWidth="1"/>
    <col min="6" max="6" width="22.81640625" style="700" customWidth="1"/>
    <col min="7" max="7" width="22.08984375" style="700" customWidth="1"/>
    <col min="8" max="16384" width="8.90625" style="700"/>
  </cols>
  <sheetData>
    <row r="1" spans="2:7">
      <c r="B1" s="698"/>
      <c r="C1" s="698"/>
      <c r="D1" s="698"/>
      <c r="E1" s="698"/>
      <c r="F1" s="698"/>
      <c r="G1" s="701" t="s">
        <v>611</v>
      </c>
    </row>
    <row r="2" spans="2:7" ht="6.75" customHeight="1">
      <c r="B2" s="698"/>
      <c r="C2" s="698"/>
      <c r="D2" s="698"/>
      <c r="E2" s="698"/>
      <c r="F2" s="698"/>
    </row>
    <row r="3" spans="2:7">
      <c r="B3" s="698"/>
      <c r="C3" s="698"/>
      <c r="D3" s="699"/>
      <c r="E3" s="699"/>
      <c r="F3" s="699"/>
      <c r="G3" s="704" t="s">
        <v>624</v>
      </c>
    </row>
    <row r="4" spans="2:7">
      <c r="B4" s="698"/>
      <c r="C4" s="698"/>
      <c r="D4" s="698"/>
      <c r="E4" s="698"/>
      <c r="F4" s="698"/>
      <c r="G4" s="704" t="s">
        <v>625</v>
      </c>
    </row>
    <row r="5" spans="2:7" ht="9.75" customHeight="1">
      <c r="B5" s="698"/>
      <c r="C5" s="698"/>
      <c r="D5" s="698"/>
      <c r="E5" s="698"/>
      <c r="F5" s="698"/>
    </row>
    <row r="6" spans="2:7" ht="18" customHeight="1">
      <c r="B6" s="869" t="s">
        <v>595</v>
      </c>
      <c r="C6" s="869"/>
      <c r="D6" s="869"/>
      <c r="E6" s="869"/>
      <c r="F6" s="869"/>
      <c r="G6" s="869"/>
    </row>
    <row r="7" spans="2:7" ht="18" customHeight="1">
      <c r="B7" s="869" t="s">
        <v>403</v>
      </c>
      <c r="C7" s="869"/>
      <c r="D7" s="869"/>
      <c r="E7" s="869"/>
      <c r="F7" s="869"/>
      <c r="G7" s="869"/>
    </row>
    <row r="8" spans="2:7" ht="18" customHeight="1">
      <c r="B8" s="869" t="s">
        <v>626</v>
      </c>
      <c r="C8" s="869"/>
      <c r="D8" s="869"/>
      <c r="E8" s="869"/>
      <c r="F8" s="869"/>
      <c r="G8" s="869"/>
    </row>
    <row r="9" spans="2:7" ht="37.5" hidden="1" customHeight="1">
      <c r="B9" s="869"/>
      <c r="C9" s="869"/>
      <c r="D9" s="869"/>
      <c r="E9" s="869"/>
      <c r="F9" s="869"/>
      <c r="G9" s="869"/>
    </row>
    <row r="10" spans="2:7" ht="18" customHeight="1">
      <c r="B10" s="871" t="s">
        <v>612</v>
      </c>
      <c r="C10" s="871"/>
      <c r="D10" s="871"/>
      <c r="E10" s="871"/>
      <c r="F10" s="871"/>
      <c r="G10" s="871"/>
    </row>
    <row r="11" spans="2:7" ht="18" customHeight="1">
      <c r="B11" s="871" t="s">
        <v>613</v>
      </c>
      <c r="C11" s="871"/>
      <c r="D11" s="871"/>
      <c r="E11" s="871"/>
      <c r="F11" s="871"/>
      <c r="G11" s="871"/>
    </row>
    <row r="12" spans="2:7" ht="19.8" thickBot="1">
      <c r="B12" s="707"/>
      <c r="C12" s="708"/>
      <c r="D12" s="709"/>
      <c r="E12" s="709"/>
      <c r="F12" s="709"/>
      <c r="G12" s="710" t="s">
        <v>614</v>
      </c>
    </row>
    <row r="13" spans="2:7" ht="38.4">
      <c r="B13" s="861" t="s">
        <v>192</v>
      </c>
      <c r="C13" s="863" t="s">
        <v>596</v>
      </c>
      <c r="D13" s="865" t="s">
        <v>615</v>
      </c>
      <c r="E13" s="867" t="s">
        <v>622</v>
      </c>
      <c r="F13" s="868"/>
      <c r="G13" s="711" t="s">
        <v>621</v>
      </c>
    </row>
    <row r="14" spans="2:7" ht="19.2">
      <c r="B14" s="862"/>
      <c r="C14" s="864"/>
      <c r="D14" s="866"/>
      <c r="E14" s="705" t="s">
        <v>627</v>
      </c>
      <c r="F14" s="706" t="s">
        <v>628</v>
      </c>
      <c r="G14" s="712"/>
    </row>
    <row r="15" spans="2:7" ht="19.2">
      <c r="B15" s="713">
        <v>1</v>
      </c>
      <c r="C15" s="714" t="s">
        <v>597</v>
      </c>
      <c r="D15" s="715">
        <v>0.43905896784247689</v>
      </c>
      <c r="E15" s="715">
        <v>0.94399999999999995</v>
      </c>
      <c r="F15" s="716">
        <v>0.94399999999999995</v>
      </c>
      <c r="G15" s="717"/>
    </row>
    <row r="16" spans="2:7" ht="38.4">
      <c r="B16" s="713">
        <v>2</v>
      </c>
      <c r="C16" s="714" t="s">
        <v>598</v>
      </c>
      <c r="D16" s="715">
        <v>6.5648081947514756</v>
      </c>
      <c r="E16" s="715">
        <v>7.5076722730000007</v>
      </c>
      <c r="F16" s="716">
        <v>7.4944927000000003</v>
      </c>
      <c r="G16" s="718"/>
    </row>
    <row r="17" spans="2:7" ht="38.4">
      <c r="B17" s="713">
        <v>3</v>
      </c>
      <c r="C17" s="714" t="s">
        <v>599</v>
      </c>
      <c r="D17" s="715">
        <v>0</v>
      </c>
      <c r="E17" s="715"/>
      <c r="F17" s="716"/>
      <c r="G17" s="719"/>
    </row>
    <row r="18" spans="2:7" ht="19.2">
      <c r="B18" s="713">
        <v>4</v>
      </c>
      <c r="C18" s="714" t="s">
        <v>600</v>
      </c>
      <c r="D18" s="715">
        <v>0</v>
      </c>
      <c r="E18" s="715"/>
      <c r="F18" s="716"/>
      <c r="G18" s="719"/>
    </row>
    <row r="19" spans="2:7" ht="38.4">
      <c r="B19" s="713">
        <v>5</v>
      </c>
      <c r="C19" s="714" t="s">
        <v>601</v>
      </c>
      <c r="D19" s="715">
        <v>1.1459339024379691</v>
      </c>
      <c r="E19" s="715">
        <v>0.76700000000000002</v>
      </c>
      <c r="F19" s="716">
        <v>0.76700000000000002</v>
      </c>
      <c r="G19" s="717"/>
    </row>
    <row r="20" spans="2:7" ht="38.4">
      <c r="B20" s="713">
        <v>6</v>
      </c>
      <c r="C20" s="714" t="s">
        <v>602</v>
      </c>
      <c r="D20" s="715">
        <v>0.42682861311583148</v>
      </c>
      <c r="E20" s="715">
        <v>5.8999999999999999E-3</v>
      </c>
      <c r="F20" s="716">
        <v>5.8999999999999999E-3</v>
      </c>
      <c r="G20" s="717"/>
    </row>
    <row r="21" spans="2:7" ht="57.6">
      <c r="B21" s="713">
        <v>7</v>
      </c>
      <c r="C21" s="714" t="s">
        <v>603</v>
      </c>
      <c r="D21" s="715">
        <v>0.7723303758531147</v>
      </c>
      <c r="E21" s="715">
        <v>1.121</v>
      </c>
      <c r="F21" s="716">
        <v>1.121</v>
      </c>
      <c r="G21" s="717"/>
    </row>
    <row r="22" spans="2:7" ht="38.4">
      <c r="B22" s="720">
        <v>8</v>
      </c>
      <c r="C22" s="714" t="s">
        <v>604</v>
      </c>
      <c r="D22" s="715">
        <v>0</v>
      </c>
      <c r="E22" s="715"/>
      <c r="F22" s="716"/>
      <c r="G22" s="717"/>
    </row>
    <row r="23" spans="2:7" ht="57.6">
      <c r="B23" s="713">
        <v>9</v>
      </c>
      <c r="C23" s="714" t="s">
        <v>629</v>
      </c>
      <c r="D23" s="715">
        <v>0</v>
      </c>
      <c r="E23" s="715"/>
      <c r="F23" s="716"/>
      <c r="G23" s="719"/>
    </row>
    <row r="24" spans="2:7" ht="57.6">
      <c r="B24" s="713">
        <v>10</v>
      </c>
      <c r="C24" s="714" t="s">
        <v>605</v>
      </c>
      <c r="D24" s="715">
        <v>0</v>
      </c>
      <c r="E24" s="715"/>
      <c r="F24" s="716"/>
      <c r="G24" s="719"/>
    </row>
    <row r="25" spans="2:7" ht="76.8">
      <c r="B25" s="713">
        <v>11</v>
      </c>
      <c r="C25" s="714" t="s">
        <v>606</v>
      </c>
      <c r="D25" s="715">
        <v>0</v>
      </c>
      <c r="E25" s="715"/>
      <c r="F25" s="716"/>
      <c r="G25" s="717"/>
    </row>
    <row r="26" spans="2:7" ht="32.25" customHeight="1">
      <c r="B26" s="713">
        <v>12</v>
      </c>
      <c r="C26" s="714" t="s">
        <v>607</v>
      </c>
      <c r="D26" s="715">
        <v>0</v>
      </c>
      <c r="E26" s="715">
        <v>0.1416</v>
      </c>
      <c r="F26" s="716">
        <v>0.1416</v>
      </c>
      <c r="G26" s="717"/>
    </row>
    <row r="27" spans="2:7" ht="18" customHeight="1" thickBot="1">
      <c r="B27" s="713">
        <v>13</v>
      </c>
      <c r="C27" s="714" t="s">
        <v>608</v>
      </c>
      <c r="D27" s="715">
        <v>0</v>
      </c>
      <c r="E27" s="715"/>
      <c r="F27" s="716"/>
      <c r="G27" s="721"/>
    </row>
    <row r="28" spans="2:7" ht="20.25" customHeight="1">
      <c r="B28" s="722">
        <v>14</v>
      </c>
      <c r="C28" s="723" t="s">
        <v>609</v>
      </c>
      <c r="D28" s="724">
        <v>9.3489600540008677</v>
      </c>
      <c r="E28" s="725">
        <v>10.487172273000001</v>
      </c>
      <c r="F28" s="725">
        <v>10.473992700000002</v>
      </c>
      <c r="G28" s="726"/>
    </row>
    <row r="29" spans="2:7" ht="20.25" customHeight="1">
      <c r="B29" s="727">
        <v>15</v>
      </c>
      <c r="C29" s="728" t="s">
        <v>610</v>
      </c>
      <c r="D29" s="729">
        <v>1.3610031011519548</v>
      </c>
      <c r="E29" s="730">
        <v>1.598838143</v>
      </c>
      <c r="F29" s="731">
        <v>1.5968277</v>
      </c>
      <c r="G29" s="732"/>
    </row>
    <row r="30" spans="2:7" ht="19.2">
      <c r="B30" s="727">
        <v>16</v>
      </c>
      <c r="C30" s="733" t="s">
        <v>616</v>
      </c>
      <c r="D30" s="729">
        <v>7.9879569528489132</v>
      </c>
      <c r="E30" s="731">
        <v>8.8883341300000005</v>
      </c>
      <c r="F30" s="731">
        <v>8.8771650000000015</v>
      </c>
      <c r="G30" s="734">
        <v>8.9062271200000005</v>
      </c>
    </row>
    <row r="31" spans="2:7" ht="20.25" customHeight="1">
      <c r="B31" s="727">
        <v>17</v>
      </c>
      <c r="C31" s="735" t="s">
        <v>617</v>
      </c>
      <c r="D31" s="736"/>
      <c r="E31" s="737"/>
      <c r="F31" s="742">
        <v>0.11131858276150974</v>
      </c>
      <c r="G31" s="742">
        <v>0.11495682470141322</v>
      </c>
    </row>
    <row r="32" spans="2:7" ht="20.25" customHeight="1" thickBot="1">
      <c r="B32" s="738">
        <v>18</v>
      </c>
      <c r="C32" s="739" t="s">
        <v>618</v>
      </c>
      <c r="D32" s="740"/>
      <c r="E32" s="741"/>
      <c r="F32" s="743" t="s">
        <v>619</v>
      </c>
      <c r="G32" s="744" t="s">
        <v>623</v>
      </c>
    </row>
    <row r="33" spans="2:7" ht="20.25" customHeight="1">
      <c r="B33" s="870" t="s">
        <v>620</v>
      </c>
      <c r="C33" s="870"/>
      <c r="D33" s="870"/>
      <c r="E33" s="870"/>
      <c r="F33" s="870"/>
      <c r="G33" s="870"/>
    </row>
    <row r="34" spans="2:7">
      <c r="B34" s="702"/>
      <c r="C34" s="703"/>
      <c r="D34" s="698"/>
      <c r="E34" s="698"/>
      <c r="F34" s="698"/>
    </row>
  </sheetData>
  <mergeCells count="11">
    <mergeCell ref="B6:G6"/>
    <mergeCell ref="B8:G8"/>
    <mergeCell ref="B9:G9"/>
    <mergeCell ref="B10:G10"/>
    <mergeCell ref="B11:G11"/>
    <mergeCell ref="B13:B14"/>
    <mergeCell ref="C13:C14"/>
    <mergeCell ref="D13:D14"/>
    <mergeCell ref="E13:F13"/>
    <mergeCell ref="B7:G7"/>
    <mergeCell ref="B33:G33"/>
  </mergeCells>
  <pageMargins left="0.7" right="0.7" top="0.75" bottom="0.75" header="0.3" footer="0.3"/>
  <pageSetup paperSize="9" scale="7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Basic cost</vt:lpstr>
      <vt:lpstr>capcost</vt:lpstr>
      <vt:lpstr>GM</vt:lpstr>
      <vt:lpstr>cash flow</vt:lpstr>
      <vt:lpstr>Finan.summary</vt:lpstr>
      <vt:lpstr>MOM</vt:lpstr>
      <vt:lpstr>PBE</vt:lpstr>
      <vt:lpstr>'Basic cost'!Print_Area</vt:lpstr>
      <vt:lpstr>capcost!Print_Area</vt:lpstr>
      <vt:lpstr>'cash flow'!Print_Area</vt:lpstr>
      <vt:lpstr>Finan.summary!Print_Area</vt:lpstr>
      <vt:lpstr>GM!Print_Area</vt:lpstr>
      <vt:lpstr>MOM!Print_Area</vt:lpstr>
      <vt:lpstr>PBE!Print_Area</vt:lpstr>
    </vt:vector>
  </TitlesOfParts>
  <Company>CET Sub Centre Bhilai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PC-3</dc:creator>
  <cp:lastModifiedBy>Intelisparkz</cp:lastModifiedBy>
  <cp:lastPrinted>2024-03-14T04:53:07Z</cp:lastPrinted>
  <dcterms:created xsi:type="dcterms:W3CDTF">2001-02-20T07:04:51Z</dcterms:created>
  <dcterms:modified xsi:type="dcterms:W3CDTF">2026-02-11T12:00:39Z</dcterms:modified>
</cp:coreProperties>
</file>